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MS\AKK_ELEKTROMOBILNOŚĆ_NYSA\AKK\Do konsultacji\"/>
    </mc:Choice>
  </mc:AlternateContent>
  <xr:revisionPtr revIDLastSave="0" documentId="8_{9449EA06-8162-42FE-B3C3-70731F0D29B6}" xr6:coauthVersionLast="47" xr6:coauthVersionMax="47" xr10:uidLastSave="{00000000-0000-0000-0000-000000000000}"/>
  <bookViews>
    <workbookView xWindow="-28920" yWindow="-120" windowWidth="29040" windowHeight="15840" activeTab="2" xr2:uid="{9620AFF9-D3CC-4603-B06D-6BC9C6E56824}"/>
  </bookViews>
  <sheets>
    <sheet name="ZAŁOŻENIA" sheetId="3" r:id="rId1"/>
    <sheet name="OBLICZENIA" sheetId="4" r:id="rId2"/>
    <sheet name="ANALIZA EKONOMICZNA" sheetId="5" r:id="rId3"/>
    <sheet name="ANALIZA FINANSOW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5" l="1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D56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D54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D52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D50" i="5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D81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D76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D64" i="4"/>
  <c r="E52" i="4"/>
  <c r="E57" i="4" s="1"/>
  <c r="F52" i="4"/>
  <c r="F57" i="4" s="1"/>
  <c r="G52" i="4"/>
  <c r="H52" i="4"/>
  <c r="I52" i="4"/>
  <c r="I57" i="4" s="1"/>
  <c r="J52" i="4"/>
  <c r="K52" i="4"/>
  <c r="L52" i="4"/>
  <c r="M52" i="4"/>
  <c r="M57" i="4" s="1"/>
  <c r="N52" i="4"/>
  <c r="N57" i="4" s="1"/>
  <c r="O52" i="4"/>
  <c r="P52" i="4"/>
  <c r="Q52" i="4"/>
  <c r="Q57" i="4" s="1"/>
  <c r="R52" i="4"/>
  <c r="S52" i="4"/>
  <c r="D52" i="4"/>
  <c r="G57" i="4"/>
  <c r="H57" i="4"/>
  <c r="J57" i="4"/>
  <c r="K57" i="4"/>
  <c r="L57" i="4"/>
  <c r="O57" i="4"/>
  <c r="P57" i="4"/>
  <c r="R57" i="4"/>
  <c r="S57" i="4"/>
  <c r="D57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D45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D4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D30" i="4"/>
  <c r="D24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D16" i="4"/>
  <c r="S15" i="4"/>
  <c r="P15" i="4"/>
  <c r="N15" i="4"/>
  <c r="E14" i="4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E120" i="4"/>
  <c r="J116" i="4"/>
  <c r="G113" i="4"/>
  <c r="G114" i="4" s="1"/>
  <c r="E110" i="4"/>
  <c r="E111" i="4" s="1"/>
  <c r="E112" i="4" s="1"/>
  <c r="J104" i="4"/>
  <c r="J105" i="4" s="1"/>
  <c r="G101" i="4"/>
  <c r="E98" i="4"/>
  <c r="E99" i="4" s="1"/>
  <c r="E100" i="4" s="1"/>
  <c r="J94" i="4"/>
  <c r="J95" i="4" s="1"/>
  <c r="G91" i="4"/>
  <c r="G92" i="4" s="1"/>
  <c r="E88" i="4"/>
  <c r="E143" i="3"/>
  <c r="F143" i="3"/>
  <c r="G143" i="3"/>
  <c r="G144" i="3" s="1"/>
  <c r="G25" i="5" s="1"/>
  <c r="H143" i="3"/>
  <c r="I143" i="3"/>
  <c r="J143" i="3"/>
  <c r="J144" i="3" s="1"/>
  <c r="J25" i="5" s="1"/>
  <c r="K143" i="3"/>
  <c r="D143" i="3"/>
  <c r="E133" i="3"/>
  <c r="F133" i="3"/>
  <c r="G133" i="3"/>
  <c r="H133" i="3"/>
  <c r="I133" i="3"/>
  <c r="J133" i="3"/>
  <c r="K133" i="3"/>
  <c r="D133" i="3"/>
  <c r="F126" i="3"/>
  <c r="G126" i="3"/>
  <c r="H126" i="3"/>
  <c r="I126" i="3"/>
  <c r="J126" i="3"/>
  <c r="K126" i="3"/>
  <c r="E126" i="3"/>
  <c r="D25" i="6"/>
  <c r="E18" i="6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D13" i="6"/>
  <c r="E6" i="6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D157" i="5"/>
  <c r="E148" i="5"/>
  <c r="F148" i="5" s="1"/>
  <c r="G148" i="5" s="1"/>
  <c r="H148" i="5" s="1"/>
  <c r="I148" i="5" s="1"/>
  <c r="J148" i="5" s="1"/>
  <c r="K148" i="5" s="1"/>
  <c r="L148" i="5" s="1"/>
  <c r="M148" i="5" s="1"/>
  <c r="N148" i="5" s="1"/>
  <c r="O148" i="5" s="1"/>
  <c r="P148" i="5" s="1"/>
  <c r="Q148" i="5" s="1"/>
  <c r="R148" i="5" s="1"/>
  <c r="S148" i="5" s="1"/>
  <c r="D141" i="5"/>
  <c r="E132" i="5"/>
  <c r="F132" i="5" s="1"/>
  <c r="G132" i="5" s="1"/>
  <c r="H132" i="5" s="1"/>
  <c r="I132" i="5" s="1"/>
  <c r="J132" i="5" s="1"/>
  <c r="K132" i="5" s="1"/>
  <c r="L132" i="5" s="1"/>
  <c r="M132" i="5" s="1"/>
  <c r="N132" i="5" s="1"/>
  <c r="O132" i="5" s="1"/>
  <c r="P132" i="5" s="1"/>
  <c r="Q132" i="5" s="1"/>
  <c r="R132" i="5" s="1"/>
  <c r="S132" i="5" s="1"/>
  <c r="E122" i="5"/>
  <c r="F122" i="5" s="1"/>
  <c r="G122" i="5" s="1"/>
  <c r="H122" i="5" s="1"/>
  <c r="I122" i="5" s="1"/>
  <c r="J122" i="5" s="1"/>
  <c r="K122" i="5" s="1"/>
  <c r="L122" i="5" s="1"/>
  <c r="M122" i="5" s="1"/>
  <c r="N122" i="5" s="1"/>
  <c r="O122" i="5" s="1"/>
  <c r="P122" i="5" s="1"/>
  <c r="Q122" i="5" s="1"/>
  <c r="R122" i="5" s="1"/>
  <c r="S122" i="5" s="1"/>
  <c r="E114" i="5"/>
  <c r="F114" i="5" s="1"/>
  <c r="G114" i="5" s="1"/>
  <c r="H114" i="5" s="1"/>
  <c r="I114" i="5" s="1"/>
  <c r="J114" i="5" s="1"/>
  <c r="K114" i="5" s="1"/>
  <c r="L114" i="5" s="1"/>
  <c r="M114" i="5" s="1"/>
  <c r="N114" i="5" s="1"/>
  <c r="O114" i="5" s="1"/>
  <c r="P114" i="5" s="1"/>
  <c r="Q114" i="5" s="1"/>
  <c r="R114" i="5" s="1"/>
  <c r="S114" i="5" s="1"/>
  <c r="D109" i="5"/>
  <c r="F110" i="5" s="1"/>
  <c r="G110" i="5" s="1"/>
  <c r="H110" i="5" s="1"/>
  <c r="I110" i="5" s="1"/>
  <c r="J110" i="5" s="1"/>
  <c r="K110" i="5" s="1"/>
  <c r="L110" i="5" s="1"/>
  <c r="M110" i="5" s="1"/>
  <c r="N110" i="5" s="1"/>
  <c r="O110" i="5" s="1"/>
  <c r="P110" i="5" s="1"/>
  <c r="Q110" i="5" s="1"/>
  <c r="R110" i="5" s="1"/>
  <c r="S110" i="5" s="1"/>
  <c r="C103" i="5"/>
  <c r="C123" i="5" s="1"/>
  <c r="C104" i="5"/>
  <c r="C124" i="5" s="1"/>
  <c r="C105" i="5"/>
  <c r="C125" i="5" s="1"/>
  <c r="H105" i="5"/>
  <c r="H125" i="5" s="1"/>
  <c r="B105" i="5"/>
  <c r="B125" i="5" s="1"/>
  <c r="B104" i="5"/>
  <c r="B124" i="5" s="1"/>
  <c r="B103" i="5"/>
  <c r="B123" i="5" s="1"/>
  <c r="E102" i="5"/>
  <c r="F102" i="5" s="1"/>
  <c r="G102" i="5" s="1"/>
  <c r="H102" i="5" s="1"/>
  <c r="I102" i="5" s="1"/>
  <c r="J102" i="5" s="1"/>
  <c r="K102" i="5" s="1"/>
  <c r="L102" i="5" s="1"/>
  <c r="M102" i="5" s="1"/>
  <c r="N102" i="5" s="1"/>
  <c r="O102" i="5" s="1"/>
  <c r="P102" i="5" s="1"/>
  <c r="Q102" i="5" s="1"/>
  <c r="R102" i="5" s="1"/>
  <c r="S102" i="5" s="1"/>
  <c r="C95" i="5"/>
  <c r="C115" i="5" s="1"/>
  <c r="C96" i="5"/>
  <c r="C116" i="5" s="1"/>
  <c r="C97" i="5"/>
  <c r="C117" i="5" s="1"/>
  <c r="B97" i="5"/>
  <c r="B117" i="5" s="1"/>
  <c r="B96" i="5"/>
  <c r="B116" i="5" s="1"/>
  <c r="B95" i="5"/>
  <c r="B115" i="5" s="1"/>
  <c r="E94" i="5"/>
  <c r="F94" i="5" s="1"/>
  <c r="G94" i="5" s="1"/>
  <c r="H94" i="5" s="1"/>
  <c r="I94" i="5" s="1"/>
  <c r="J94" i="5" s="1"/>
  <c r="K94" i="5" s="1"/>
  <c r="L94" i="5" s="1"/>
  <c r="M94" i="5" s="1"/>
  <c r="N94" i="5" s="1"/>
  <c r="O94" i="5" s="1"/>
  <c r="P94" i="5" s="1"/>
  <c r="Q94" i="5" s="1"/>
  <c r="R94" i="5" s="1"/>
  <c r="S94" i="5" s="1"/>
  <c r="E85" i="5"/>
  <c r="F85" i="5"/>
  <c r="G85" i="5"/>
  <c r="H85" i="5"/>
  <c r="I85" i="5"/>
  <c r="I87" i="5" s="1"/>
  <c r="I105" i="5" s="1"/>
  <c r="I125" i="5" s="1"/>
  <c r="J85" i="5"/>
  <c r="K85" i="5"/>
  <c r="L85" i="5"/>
  <c r="M85" i="5"/>
  <c r="N85" i="5"/>
  <c r="O85" i="5"/>
  <c r="P85" i="5"/>
  <c r="Q85" i="5"/>
  <c r="Q87" i="5" s="1"/>
  <c r="Q105" i="5" s="1"/>
  <c r="Q125" i="5" s="1"/>
  <c r="R85" i="5"/>
  <c r="R87" i="5" s="1"/>
  <c r="R105" i="5" s="1"/>
  <c r="R125" i="5" s="1"/>
  <c r="S85" i="5"/>
  <c r="E86" i="5"/>
  <c r="F86" i="5"/>
  <c r="F87" i="5" s="1"/>
  <c r="F105" i="5" s="1"/>
  <c r="F125" i="5" s="1"/>
  <c r="G86" i="5"/>
  <c r="H86" i="5"/>
  <c r="I86" i="5"/>
  <c r="J86" i="5"/>
  <c r="K86" i="5"/>
  <c r="L86" i="5"/>
  <c r="M86" i="5"/>
  <c r="N86" i="5"/>
  <c r="N87" i="5" s="1"/>
  <c r="N105" i="5" s="1"/>
  <c r="N125" i="5" s="1"/>
  <c r="O86" i="5"/>
  <c r="P86" i="5"/>
  <c r="Q86" i="5"/>
  <c r="R86" i="5"/>
  <c r="S86" i="5"/>
  <c r="G87" i="5"/>
  <c r="G105" i="5" s="1"/>
  <c r="G125" i="5" s="1"/>
  <c r="H87" i="5"/>
  <c r="O87" i="5"/>
  <c r="O105" i="5" s="1"/>
  <c r="P87" i="5"/>
  <c r="P105" i="5" s="1"/>
  <c r="P125" i="5" s="1"/>
  <c r="E84" i="5"/>
  <c r="F84" i="5" s="1"/>
  <c r="G84" i="5" s="1"/>
  <c r="H84" i="5" s="1"/>
  <c r="I84" i="5" s="1"/>
  <c r="J84" i="5" s="1"/>
  <c r="K84" i="5" s="1"/>
  <c r="L84" i="5" s="1"/>
  <c r="M84" i="5" s="1"/>
  <c r="N84" i="5" s="1"/>
  <c r="O84" i="5" s="1"/>
  <c r="P84" i="5" s="1"/>
  <c r="Q84" i="5" s="1"/>
  <c r="R84" i="5" s="1"/>
  <c r="S84" i="5" s="1"/>
  <c r="D86" i="5"/>
  <c r="D87" i="5" s="1"/>
  <c r="D105" i="5" s="1"/>
  <c r="D125" i="5" s="1"/>
  <c r="D85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S81" i="5" s="1"/>
  <c r="S97" i="5" s="1"/>
  <c r="S117" i="5" s="1"/>
  <c r="D80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D79" i="5"/>
  <c r="E78" i="5"/>
  <c r="F78" i="5" s="1"/>
  <c r="G78" i="5" s="1"/>
  <c r="H78" i="5" s="1"/>
  <c r="I78" i="5" s="1"/>
  <c r="J78" i="5" s="1"/>
  <c r="K78" i="5" s="1"/>
  <c r="L78" i="5" s="1"/>
  <c r="M78" i="5" s="1"/>
  <c r="N78" i="5" s="1"/>
  <c r="O78" i="5" s="1"/>
  <c r="P78" i="5" s="1"/>
  <c r="Q78" i="5" s="1"/>
  <c r="R78" i="5" s="1"/>
  <c r="S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E69" i="5"/>
  <c r="F69" i="5" s="1"/>
  <c r="G69" i="5" s="1"/>
  <c r="H69" i="5" s="1"/>
  <c r="I69" i="5" s="1"/>
  <c r="J69" i="5" s="1"/>
  <c r="K69" i="5" s="1"/>
  <c r="L69" i="5" s="1"/>
  <c r="M69" i="5" s="1"/>
  <c r="N69" i="5" s="1"/>
  <c r="O69" i="5" s="1"/>
  <c r="P69" i="5" s="1"/>
  <c r="Q69" i="5" s="1"/>
  <c r="R69" i="5" s="1"/>
  <c r="S69" i="5" s="1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D64" i="5"/>
  <c r="E63" i="5"/>
  <c r="F63" i="5" s="1"/>
  <c r="G63" i="5" s="1"/>
  <c r="H63" i="5" s="1"/>
  <c r="I63" i="5" s="1"/>
  <c r="J63" i="5" s="1"/>
  <c r="K63" i="5" s="1"/>
  <c r="L63" i="5" s="1"/>
  <c r="M63" i="5" s="1"/>
  <c r="N63" i="5" s="1"/>
  <c r="O63" i="5" s="1"/>
  <c r="P63" i="5" s="1"/>
  <c r="Q63" i="5" s="1"/>
  <c r="R63" i="5" s="1"/>
  <c r="S63" i="5" s="1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E49" i="5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D45" i="5"/>
  <c r="D43" i="5"/>
  <c r="D41" i="5"/>
  <c r="D39" i="5"/>
  <c r="E37" i="5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S37" i="5" s="1"/>
  <c r="E26" i="5"/>
  <c r="G26" i="5"/>
  <c r="H26" i="5"/>
  <c r="I26" i="5"/>
  <c r="J26" i="5"/>
  <c r="K26" i="5"/>
  <c r="D26" i="5"/>
  <c r="E24" i="5"/>
  <c r="F24" i="5" s="1"/>
  <c r="G24" i="5" s="1"/>
  <c r="H24" i="5" s="1"/>
  <c r="I24" i="5" s="1"/>
  <c r="J24" i="5" s="1"/>
  <c r="K24" i="5" s="1"/>
  <c r="E18" i="5"/>
  <c r="F18" i="5" s="1"/>
  <c r="G18" i="5" s="1"/>
  <c r="H18" i="5" s="1"/>
  <c r="I18" i="5" s="1"/>
  <c r="J18" i="5" s="1"/>
  <c r="K18" i="5" s="1"/>
  <c r="E12" i="5"/>
  <c r="F12" i="5" s="1"/>
  <c r="G12" i="5" s="1"/>
  <c r="H12" i="5" s="1"/>
  <c r="I12" i="5" s="1"/>
  <c r="J12" i="5" s="1"/>
  <c r="K12" i="5" s="1"/>
  <c r="Q121" i="4"/>
  <c r="R121" i="4" s="1"/>
  <c r="S121" i="4" s="1"/>
  <c r="E121" i="4"/>
  <c r="E122" i="4" s="1"/>
  <c r="E123" i="4" s="1"/>
  <c r="D121" i="4"/>
  <c r="D122" i="4" s="1"/>
  <c r="D123" i="4" s="1"/>
  <c r="E117" i="4"/>
  <c r="F117" i="4"/>
  <c r="G117" i="4"/>
  <c r="H117" i="4"/>
  <c r="I117" i="4"/>
  <c r="J117" i="4"/>
  <c r="D117" i="4"/>
  <c r="D118" i="4" s="1"/>
  <c r="Q114" i="4"/>
  <c r="R114" i="4" s="1"/>
  <c r="S114" i="4" s="1"/>
  <c r="E114" i="4"/>
  <c r="E115" i="4" s="1"/>
  <c r="F114" i="4"/>
  <c r="D114" i="4"/>
  <c r="D115" i="4" s="1"/>
  <c r="O111" i="4"/>
  <c r="P111" i="4" s="1"/>
  <c r="Q111" i="4" s="1"/>
  <c r="R111" i="4" s="1"/>
  <c r="S111" i="4" s="1"/>
  <c r="D111" i="4"/>
  <c r="D112" i="4" s="1"/>
  <c r="E105" i="4"/>
  <c r="F105" i="4"/>
  <c r="G105" i="4"/>
  <c r="H105" i="4"/>
  <c r="I105" i="4"/>
  <c r="D105" i="4"/>
  <c r="E102" i="4"/>
  <c r="F102" i="4"/>
  <c r="G102" i="4"/>
  <c r="D102" i="4"/>
  <c r="D103" i="4" s="1"/>
  <c r="D99" i="4"/>
  <c r="D100" i="4" s="1"/>
  <c r="D106" i="4"/>
  <c r="Q99" i="4"/>
  <c r="R99" i="4" s="1"/>
  <c r="S99" i="4" s="1"/>
  <c r="E95" i="4"/>
  <c r="E96" i="4" s="1"/>
  <c r="F95" i="4"/>
  <c r="G95" i="4"/>
  <c r="H95" i="4"/>
  <c r="I95" i="4"/>
  <c r="D95" i="4"/>
  <c r="D96" i="4" s="1"/>
  <c r="E146" i="3"/>
  <c r="F146" i="3"/>
  <c r="G146" i="3"/>
  <c r="H146" i="3"/>
  <c r="I146" i="3"/>
  <c r="J146" i="3"/>
  <c r="K146" i="3"/>
  <c r="D146" i="3"/>
  <c r="E144" i="3"/>
  <c r="E25" i="5" s="1"/>
  <c r="F144" i="3"/>
  <c r="H144" i="3"/>
  <c r="I144" i="3"/>
  <c r="I25" i="5" s="1"/>
  <c r="K144" i="3"/>
  <c r="K25" i="5" s="1"/>
  <c r="D144" i="3"/>
  <c r="D25" i="5" s="1"/>
  <c r="Q92" i="4"/>
  <c r="R92" i="4" s="1"/>
  <c r="S92" i="4" s="1"/>
  <c r="E92" i="4"/>
  <c r="F92" i="4"/>
  <c r="D92" i="4"/>
  <c r="D93" i="4" s="1"/>
  <c r="O89" i="4"/>
  <c r="P89" i="4" s="1"/>
  <c r="Q89" i="4" s="1"/>
  <c r="R89" i="4" s="1"/>
  <c r="S89" i="4" s="1"/>
  <c r="E86" i="4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E79" i="4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E73" i="4"/>
  <c r="F73" i="4" s="1"/>
  <c r="G73" i="4" s="1"/>
  <c r="H73" i="4" s="1"/>
  <c r="I73" i="4" s="1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E67" i="4"/>
  <c r="F67" i="4" s="1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E61" i="4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P61" i="4" s="1"/>
  <c r="Q61" i="4" s="1"/>
  <c r="R61" i="4" s="1"/>
  <c r="S61" i="4" s="1"/>
  <c r="E55" i="4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E49" i="4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E43" i="4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E37" i="4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E28" i="4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E22" i="4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E5" i="4"/>
  <c r="E12" i="4" s="1"/>
  <c r="E11" i="4" s="1"/>
  <c r="F5" i="4"/>
  <c r="F12" i="4" s="1"/>
  <c r="F11" i="4" s="1"/>
  <c r="G5" i="4"/>
  <c r="H5" i="4"/>
  <c r="H12" i="4" s="1"/>
  <c r="H11" i="4" s="1"/>
  <c r="I5" i="4"/>
  <c r="I12" i="4" s="1"/>
  <c r="I11" i="4" s="1"/>
  <c r="J5" i="4"/>
  <c r="J12" i="4" s="1"/>
  <c r="J11" i="4" s="1"/>
  <c r="K5" i="4"/>
  <c r="K39" i="4" s="1"/>
  <c r="L5" i="4"/>
  <c r="L74" i="4" s="1"/>
  <c r="M5" i="4"/>
  <c r="M12" i="4" s="1"/>
  <c r="M11" i="4" s="1"/>
  <c r="N5" i="4"/>
  <c r="N12" i="4" s="1"/>
  <c r="N11" i="4" s="1"/>
  <c r="O5" i="4"/>
  <c r="O12" i="4" s="1"/>
  <c r="O11" i="4" s="1"/>
  <c r="P5" i="4"/>
  <c r="P12" i="4" s="1"/>
  <c r="P11" i="4" s="1"/>
  <c r="Q5" i="4"/>
  <c r="Q12" i="4" s="1"/>
  <c r="Q11" i="4" s="1"/>
  <c r="R5" i="4"/>
  <c r="R12" i="4" s="1"/>
  <c r="R11" i="4" s="1"/>
  <c r="S5" i="4"/>
  <c r="S12" i="4" s="1"/>
  <c r="S11" i="4" s="1"/>
  <c r="D5" i="4"/>
  <c r="D74" i="4" s="1"/>
  <c r="B12" i="4"/>
  <c r="B10" i="4"/>
  <c r="B8" i="4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F93" i="4" l="1"/>
  <c r="G118" i="4"/>
  <c r="F103" i="4"/>
  <c r="F118" i="4"/>
  <c r="G106" i="4"/>
  <c r="E118" i="4"/>
  <c r="E103" i="4"/>
  <c r="J118" i="4"/>
  <c r="I118" i="4"/>
  <c r="H118" i="4"/>
  <c r="I121" i="4"/>
  <c r="J121" i="4"/>
  <c r="K121" i="4"/>
  <c r="L121" i="4"/>
  <c r="M121" i="4"/>
  <c r="F121" i="4"/>
  <c r="N121" i="4"/>
  <c r="G121" i="4"/>
  <c r="H121" i="4"/>
  <c r="F26" i="5"/>
  <c r="M114" i="4"/>
  <c r="L114" i="4"/>
  <c r="J111" i="4"/>
  <c r="I111" i="4"/>
  <c r="G27" i="5"/>
  <c r="F25" i="5"/>
  <c r="H25" i="5"/>
  <c r="H27" i="5" s="1"/>
  <c r="R81" i="5"/>
  <c r="R97" i="5" s="1"/>
  <c r="R117" i="5" s="1"/>
  <c r="J81" i="5"/>
  <c r="J97" i="5" s="1"/>
  <c r="J117" i="5" s="1"/>
  <c r="J87" i="5"/>
  <c r="J105" i="5" s="1"/>
  <c r="J125" i="5" s="1"/>
  <c r="K81" i="5"/>
  <c r="K97" i="5" s="1"/>
  <c r="K117" i="5" s="1"/>
  <c r="Q81" i="5"/>
  <c r="Q97" i="5" s="1"/>
  <c r="Q117" i="5" s="1"/>
  <c r="I81" i="5"/>
  <c r="I97" i="5" s="1"/>
  <c r="I117" i="5" s="1"/>
  <c r="P81" i="5"/>
  <c r="P97" i="5" s="1"/>
  <c r="P117" i="5" s="1"/>
  <c r="H81" i="5"/>
  <c r="H97" i="5" s="1"/>
  <c r="H117" i="5" s="1"/>
  <c r="O81" i="5"/>
  <c r="O97" i="5" s="1"/>
  <c r="O117" i="5" s="1"/>
  <c r="G81" i="5"/>
  <c r="G97" i="5" s="1"/>
  <c r="G117" i="5" s="1"/>
  <c r="N81" i="5"/>
  <c r="N97" i="5" s="1"/>
  <c r="N117" i="5" s="1"/>
  <c r="F81" i="5"/>
  <c r="F97" i="5" s="1"/>
  <c r="F117" i="5" s="1"/>
  <c r="F27" i="5"/>
  <c r="M81" i="5"/>
  <c r="M97" i="5" s="1"/>
  <c r="M117" i="5" s="1"/>
  <c r="E81" i="5"/>
  <c r="E97" i="5" s="1"/>
  <c r="E117" i="5" s="1"/>
  <c r="M87" i="5"/>
  <c r="M105" i="5" s="1"/>
  <c r="M125" i="5" s="1"/>
  <c r="E87" i="5"/>
  <c r="E105" i="5" s="1"/>
  <c r="E125" i="5" s="1"/>
  <c r="D81" i="5"/>
  <c r="D97" i="5" s="1"/>
  <c r="D117" i="5" s="1"/>
  <c r="L81" i="5"/>
  <c r="L97" i="5" s="1"/>
  <c r="L117" i="5" s="1"/>
  <c r="O125" i="5"/>
  <c r="E27" i="5"/>
  <c r="K27" i="5"/>
  <c r="L87" i="5"/>
  <c r="L105" i="5" s="1"/>
  <c r="L125" i="5" s="1"/>
  <c r="S87" i="5"/>
  <c r="S105" i="5" s="1"/>
  <c r="S125" i="5" s="1"/>
  <c r="K87" i="5"/>
  <c r="K105" i="5" s="1"/>
  <c r="K125" i="5" s="1"/>
  <c r="J27" i="5"/>
  <c r="I27" i="5"/>
  <c r="D27" i="5"/>
  <c r="H111" i="4"/>
  <c r="J114" i="4"/>
  <c r="G103" i="4"/>
  <c r="G111" i="4"/>
  <c r="F111" i="4"/>
  <c r="G115" i="4"/>
  <c r="F115" i="4"/>
  <c r="E106" i="4"/>
  <c r="L111" i="4"/>
  <c r="I106" i="4"/>
  <c r="K111" i="4"/>
  <c r="K114" i="4"/>
  <c r="I114" i="4"/>
  <c r="H114" i="4"/>
  <c r="H115" i="4" s="1"/>
  <c r="N114" i="4"/>
  <c r="J106" i="4"/>
  <c r="H106" i="4"/>
  <c r="F106" i="4"/>
  <c r="S102" i="4"/>
  <c r="F96" i="4"/>
  <c r="I23" i="4"/>
  <c r="I71" i="5" s="1"/>
  <c r="I72" i="5" s="1"/>
  <c r="I104" i="5" s="1"/>
  <c r="I124" i="5" s="1"/>
  <c r="E93" i="4"/>
  <c r="J96" i="4"/>
  <c r="G93" i="4"/>
  <c r="I96" i="4"/>
  <c r="H96" i="4"/>
  <c r="S62" i="4"/>
  <c r="G96" i="4"/>
  <c r="L51" i="4"/>
  <c r="N23" i="4"/>
  <c r="N71" i="5" s="1"/>
  <c r="N72" i="5" s="1"/>
  <c r="N104" i="5" s="1"/>
  <c r="N51" i="4"/>
  <c r="F63" i="4"/>
  <c r="D89" i="4"/>
  <c r="D90" i="4" s="1"/>
  <c r="D97" i="4" s="1"/>
  <c r="G23" i="4"/>
  <c r="G71" i="5" s="1"/>
  <c r="G72" i="5" s="1"/>
  <c r="G104" i="5" s="1"/>
  <c r="G124" i="5" s="1"/>
  <c r="S38" i="4"/>
  <c r="R39" i="4"/>
  <c r="F51" i="4"/>
  <c r="K62" i="4"/>
  <c r="F23" i="4"/>
  <c r="F71" i="5" s="1"/>
  <c r="F72" i="5" s="1"/>
  <c r="F104" i="5" s="1"/>
  <c r="Q38" i="4"/>
  <c r="P39" i="4"/>
  <c r="S50" i="4"/>
  <c r="D75" i="4"/>
  <c r="D80" i="4" s="1"/>
  <c r="D44" i="5" s="1"/>
  <c r="Q24" i="4"/>
  <c r="K38" i="4"/>
  <c r="K44" i="4" s="1"/>
  <c r="J39" i="4"/>
  <c r="K50" i="4"/>
  <c r="L75" i="4"/>
  <c r="L80" i="4" s="1"/>
  <c r="L44" i="5" s="1"/>
  <c r="O24" i="4"/>
  <c r="I38" i="4"/>
  <c r="H39" i="4"/>
  <c r="D63" i="4"/>
  <c r="S74" i="4"/>
  <c r="Q23" i="4"/>
  <c r="Q71" i="5" s="1"/>
  <c r="Q72" i="5" s="1"/>
  <c r="Q104" i="5" s="1"/>
  <c r="Q124" i="5" s="1"/>
  <c r="I24" i="4"/>
  <c r="N63" i="4"/>
  <c r="K74" i="4"/>
  <c r="O23" i="4"/>
  <c r="O71" i="5" s="1"/>
  <c r="O72" i="5" s="1"/>
  <c r="O104" i="5" s="1"/>
  <c r="O124" i="5" s="1"/>
  <c r="G24" i="4"/>
  <c r="D51" i="4"/>
  <c r="L63" i="4"/>
  <c r="E89" i="4"/>
  <c r="G12" i="4"/>
  <c r="G11" i="4" s="1"/>
  <c r="N24" i="4"/>
  <c r="F24" i="4"/>
  <c r="P38" i="4"/>
  <c r="H38" i="4"/>
  <c r="O39" i="4"/>
  <c r="G39" i="4"/>
  <c r="S51" i="4"/>
  <c r="K51" i="4"/>
  <c r="R50" i="4"/>
  <c r="J50" i="4"/>
  <c r="S63" i="4"/>
  <c r="K63" i="4"/>
  <c r="R62" i="4"/>
  <c r="J62" i="4"/>
  <c r="S75" i="4"/>
  <c r="K75" i="4"/>
  <c r="K80" i="4" s="1"/>
  <c r="K44" i="5" s="1"/>
  <c r="R74" i="4"/>
  <c r="J74" i="4"/>
  <c r="M23" i="4"/>
  <c r="M71" i="5" s="1"/>
  <c r="M72" i="5" s="1"/>
  <c r="M104" i="5" s="1"/>
  <c r="M124" i="5" s="1"/>
  <c r="E23" i="4"/>
  <c r="E71" i="5" s="1"/>
  <c r="E72" i="5" s="1"/>
  <c r="E104" i="5" s="1"/>
  <c r="E124" i="5" s="1"/>
  <c r="M24" i="4"/>
  <c r="E24" i="4"/>
  <c r="O38" i="4"/>
  <c r="G38" i="4"/>
  <c r="N39" i="4"/>
  <c r="F39" i="4"/>
  <c r="R51" i="4"/>
  <c r="J51" i="4"/>
  <c r="Q50" i="4"/>
  <c r="I50" i="4"/>
  <c r="R63" i="4"/>
  <c r="J63" i="4"/>
  <c r="Q62" i="4"/>
  <c r="I62" i="4"/>
  <c r="R75" i="4"/>
  <c r="J75" i="4"/>
  <c r="Q74" i="4"/>
  <c r="I74" i="4"/>
  <c r="D23" i="4"/>
  <c r="D71" i="5" s="1"/>
  <c r="D72" i="5" s="1"/>
  <c r="D104" i="5" s="1"/>
  <c r="D124" i="5" s="1"/>
  <c r="L23" i="4"/>
  <c r="L71" i="5" s="1"/>
  <c r="L72" i="5" s="1"/>
  <c r="L104" i="5" s="1"/>
  <c r="L124" i="5" s="1"/>
  <c r="L24" i="4"/>
  <c r="N38" i="4"/>
  <c r="F38" i="4"/>
  <c r="M39" i="4"/>
  <c r="E39" i="4"/>
  <c r="Q51" i="4"/>
  <c r="I51" i="4"/>
  <c r="P50" i="4"/>
  <c r="H50" i="4"/>
  <c r="Q63" i="4"/>
  <c r="I63" i="4"/>
  <c r="P62" i="4"/>
  <c r="H62" i="4"/>
  <c r="Q75" i="4"/>
  <c r="I75" i="4"/>
  <c r="P74" i="4"/>
  <c r="H74" i="4"/>
  <c r="S23" i="4"/>
  <c r="S71" i="5" s="1"/>
  <c r="S72" i="5" s="1"/>
  <c r="S104" i="5" s="1"/>
  <c r="S124" i="5" s="1"/>
  <c r="K23" i="4"/>
  <c r="K71" i="5" s="1"/>
  <c r="K72" i="5" s="1"/>
  <c r="K104" i="5" s="1"/>
  <c r="K124" i="5" s="1"/>
  <c r="S24" i="4"/>
  <c r="K24" i="4"/>
  <c r="M38" i="4"/>
  <c r="E38" i="4"/>
  <c r="L39" i="4"/>
  <c r="P51" i="4"/>
  <c r="H51" i="4"/>
  <c r="O50" i="4"/>
  <c r="G50" i="4"/>
  <c r="P63" i="4"/>
  <c r="H63" i="4"/>
  <c r="O62" i="4"/>
  <c r="G62" i="4"/>
  <c r="P75" i="4"/>
  <c r="H75" i="4"/>
  <c r="O74" i="4"/>
  <c r="G74" i="4"/>
  <c r="R23" i="4"/>
  <c r="R71" i="5" s="1"/>
  <c r="R72" i="5" s="1"/>
  <c r="R104" i="5" s="1"/>
  <c r="J23" i="4"/>
  <c r="J71" i="5" s="1"/>
  <c r="J72" i="5" s="1"/>
  <c r="J104" i="5" s="1"/>
  <c r="J124" i="5" s="1"/>
  <c r="R24" i="4"/>
  <c r="J24" i="4"/>
  <c r="D38" i="4"/>
  <c r="L38" i="4"/>
  <c r="D39" i="4"/>
  <c r="S39" i="4"/>
  <c r="O51" i="4"/>
  <c r="G51" i="4"/>
  <c r="N50" i="4"/>
  <c r="F50" i="4"/>
  <c r="O63" i="4"/>
  <c r="G63" i="4"/>
  <c r="N62" i="4"/>
  <c r="F62" i="4"/>
  <c r="O75" i="4"/>
  <c r="G75" i="4"/>
  <c r="N74" i="4"/>
  <c r="F74" i="4"/>
  <c r="M50" i="4"/>
  <c r="E50" i="4"/>
  <c r="M62" i="4"/>
  <c r="E62" i="4"/>
  <c r="N75" i="4"/>
  <c r="F75" i="4"/>
  <c r="M74" i="4"/>
  <c r="E74" i="4"/>
  <c r="P23" i="4"/>
  <c r="P71" i="5" s="1"/>
  <c r="P72" i="5" s="1"/>
  <c r="P104" i="5" s="1"/>
  <c r="P124" i="5" s="1"/>
  <c r="H23" i="4"/>
  <c r="H71" i="5" s="1"/>
  <c r="H72" i="5" s="1"/>
  <c r="H104" i="5" s="1"/>
  <c r="H124" i="5" s="1"/>
  <c r="P24" i="4"/>
  <c r="H24" i="4"/>
  <c r="R38" i="4"/>
  <c r="J38" i="4"/>
  <c r="Q39" i="4"/>
  <c r="I39" i="4"/>
  <c r="D50" i="4"/>
  <c r="M51" i="4"/>
  <c r="M56" i="4" s="1"/>
  <c r="E51" i="4"/>
  <c r="E56" i="4" s="1"/>
  <c r="L50" i="4"/>
  <c r="D62" i="4"/>
  <c r="M63" i="4"/>
  <c r="E63" i="4"/>
  <c r="L62" i="4"/>
  <c r="M75" i="4"/>
  <c r="E75" i="4"/>
  <c r="L12" i="4"/>
  <c r="L11" i="4" s="1"/>
  <c r="D12" i="4"/>
  <c r="D11" i="4" s="1"/>
  <c r="K12" i="4"/>
  <c r="K11" i="4" s="1"/>
  <c r="P68" i="4" l="1"/>
  <c r="I44" i="4"/>
  <c r="I38" i="5" s="1"/>
  <c r="M40" i="5"/>
  <c r="S69" i="4"/>
  <c r="K38" i="5"/>
  <c r="E40" i="5"/>
  <c r="G122" i="4"/>
  <c r="G123" i="4" s="1"/>
  <c r="K112" i="4"/>
  <c r="N112" i="4"/>
  <c r="F122" i="4"/>
  <c r="F123" i="4" s="1"/>
  <c r="R122" i="4"/>
  <c r="R123" i="4" s="1"/>
  <c r="M122" i="4"/>
  <c r="M123" i="4" s="1"/>
  <c r="S122" i="4"/>
  <c r="S123" i="4" s="1"/>
  <c r="Q122" i="4"/>
  <c r="Q123" i="4" s="1"/>
  <c r="P122" i="4"/>
  <c r="P123" i="4" s="1"/>
  <c r="K122" i="4"/>
  <c r="K123" i="4" s="1"/>
  <c r="L122" i="4"/>
  <c r="L123" i="4" s="1"/>
  <c r="I122" i="4"/>
  <c r="I123" i="4" s="1"/>
  <c r="O122" i="4"/>
  <c r="O123" i="4" s="1"/>
  <c r="H122" i="4"/>
  <c r="H123" i="4" s="1"/>
  <c r="N122" i="4"/>
  <c r="N123" i="4" s="1"/>
  <c r="J122" i="4"/>
  <c r="J123" i="4" s="1"/>
  <c r="S112" i="4"/>
  <c r="H112" i="4"/>
  <c r="N117" i="4"/>
  <c r="O117" i="4"/>
  <c r="P117" i="4"/>
  <c r="Q117" i="4"/>
  <c r="K117" i="4"/>
  <c r="L117" i="4"/>
  <c r="M117" i="4"/>
  <c r="M115" i="4"/>
  <c r="N115" i="4"/>
  <c r="O112" i="4"/>
  <c r="M112" i="4"/>
  <c r="J112" i="4"/>
  <c r="N124" i="5"/>
  <c r="F124" i="5"/>
  <c r="R124" i="5"/>
  <c r="L115" i="4"/>
  <c r="R115" i="4"/>
  <c r="J115" i="4"/>
  <c r="P115" i="4"/>
  <c r="I115" i="4"/>
  <c r="P112" i="4"/>
  <c r="Q115" i="4"/>
  <c r="Q112" i="4"/>
  <c r="O115" i="4"/>
  <c r="F112" i="4"/>
  <c r="R112" i="4"/>
  <c r="K115" i="4"/>
  <c r="L112" i="4"/>
  <c r="I112" i="4"/>
  <c r="G112" i="4"/>
  <c r="S115" i="4"/>
  <c r="I29" i="4"/>
  <c r="I65" i="5" s="1"/>
  <c r="I66" i="5" s="1"/>
  <c r="I96" i="5" s="1"/>
  <c r="I116" i="5" s="1"/>
  <c r="N29" i="4"/>
  <c r="N65" i="5" s="1"/>
  <c r="N66" i="5" s="1"/>
  <c r="N96" i="5" s="1"/>
  <c r="N116" i="5" s="1"/>
  <c r="R44" i="4"/>
  <c r="M68" i="4"/>
  <c r="N68" i="4"/>
  <c r="J29" i="4"/>
  <c r="J65" i="5" s="1"/>
  <c r="J66" i="5" s="1"/>
  <c r="J96" i="5" s="1"/>
  <c r="J116" i="5" s="1"/>
  <c r="H29" i="4"/>
  <c r="H65" i="5" s="1"/>
  <c r="H66" i="5" s="1"/>
  <c r="H96" i="5" s="1"/>
  <c r="H116" i="5" s="1"/>
  <c r="D56" i="4"/>
  <c r="D40" i="5" s="1"/>
  <c r="D107" i="4"/>
  <c r="D108" i="4" s="1"/>
  <c r="S80" i="4"/>
  <c r="S44" i="5" s="1"/>
  <c r="S44" i="4"/>
  <c r="S56" i="4"/>
  <c r="P29" i="4"/>
  <c r="P65" i="5" s="1"/>
  <c r="P66" i="5" s="1"/>
  <c r="P96" i="5" s="1"/>
  <c r="P116" i="5" s="1"/>
  <c r="H80" i="4"/>
  <c r="H44" i="5" s="1"/>
  <c r="K69" i="4"/>
  <c r="O29" i="4"/>
  <c r="O65" i="5" s="1"/>
  <c r="O66" i="5" s="1"/>
  <c r="O96" i="5" s="1"/>
  <c r="O116" i="5" s="1"/>
  <c r="S68" i="4"/>
  <c r="Q44" i="4"/>
  <c r="G29" i="4"/>
  <c r="G65" i="5" s="1"/>
  <c r="G66" i="5" s="1"/>
  <c r="G96" i="5" s="1"/>
  <c r="G116" i="5" s="1"/>
  <c r="L56" i="4"/>
  <c r="O80" i="4"/>
  <c r="O44" i="5" s="1"/>
  <c r="P69" i="4"/>
  <c r="J69" i="4"/>
  <c r="K68" i="4"/>
  <c r="F29" i="4"/>
  <c r="F65" i="5" s="1"/>
  <c r="F66" i="5" s="1"/>
  <c r="F96" i="5" s="1"/>
  <c r="F116" i="5" s="1"/>
  <c r="N56" i="4"/>
  <c r="R56" i="4"/>
  <c r="H44" i="4"/>
  <c r="Q29" i="4"/>
  <c r="Q65" i="5" s="1"/>
  <c r="Q66" i="5" s="1"/>
  <c r="Q96" i="5" s="1"/>
  <c r="Q116" i="5" s="1"/>
  <c r="J44" i="4"/>
  <c r="E68" i="4"/>
  <c r="N80" i="4"/>
  <c r="N44" i="5" s="1"/>
  <c r="F68" i="4"/>
  <c r="G56" i="4"/>
  <c r="H68" i="4"/>
  <c r="S29" i="4"/>
  <c r="S65" i="5" s="1"/>
  <c r="S66" i="5" s="1"/>
  <c r="S96" i="5" s="1"/>
  <c r="S116" i="5" s="1"/>
  <c r="J68" i="4"/>
  <c r="D69" i="4"/>
  <c r="M69" i="4"/>
  <c r="F56" i="4"/>
  <c r="E90" i="4"/>
  <c r="E97" i="4" s="1"/>
  <c r="L68" i="4"/>
  <c r="P56" i="4"/>
  <c r="K29" i="4"/>
  <c r="K65" i="5" s="1"/>
  <c r="K66" i="5" s="1"/>
  <c r="K96" i="5" s="1"/>
  <c r="K116" i="5" s="1"/>
  <c r="L69" i="4"/>
  <c r="G44" i="4"/>
  <c r="G68" i="4"/>
  <c r="I69" i="4"/>
  <c r="Q56" i="4"/>
  <c r="J80" i="4"/>
  <c r="J44" i="5" s="1"/>
  <c r="N69" i="4"/>
  <c r="I68" i="4"/>
  <c r="R80" i="4"/>
  <c r="R44" i="5" s="1"/>
  <c r="K56" i="4"/>
  <c r="O56" i="4"/>
  <c r="M80" i="4"/>
  <c r="M44" i="5" s="1"/>
  <c r="D68" i="4"/>
  <c r="D42" i="5" s="1"/>
  <c r="G69" i="4"/>
  <c r="G80" i="4"/>
  <c r="G44" i="5" s="1"/>
  <c r="H69" i="4"/>
  <c r="P44" i="4"/>
  <c r="O44" i="4"/>
  <c r="F69" i="4"/>
  <c r="I56" i="4"/>
  <c r="R68" i="4"/>
  <c r="E80" i="4"/>
  <c r="E44" i="5" s="1"/>
  <c r="L44" i="4"/>
  <c r="F44" i="4"/>
  <c r="E29" i="4"/>
  <c r="E65" i="5" s="1"/>
  <c r="E66" i="5" s="1"/>
  <c r="E96" i="5" s="1"/>
  <c r="E116" i="5" s="1"/>
  <c r="R29" i="4"/>
  <c r="R65" i="5" s="1"/>
  <c r="R66" i="5" s="1"/>
  <c r="R96" i="5" s="1"/>
  <c r="R116" i="5" s="1"/>
  <c r="O68" i="4"/>
  <c r="P80" i="4"/>
  <c r="P44" i="5" s="1"/>
  <c r="Q69" i="4"/>
  <c r="N44" i="4"/>
  <c r="M29" i="4"/>
  <c r="M65" i="5" s="1"/>
  <c r="M66" i="5" s="1"/>
  <c r="M96" i="5" s="1"/>
  <c r="M116" i="5" s="1"/>
  <c r="O69" i="4"/>
  <c r="Q68" i="4"/>
  <c r="I80" i="4"/>
  <c r="I44" i="5" s="1"/>
  <c r="E44" i="4"/>
  <c r="L29" i="4"/>
  <c r="L65" i="5" s="1"/>
  <c r="L66" i="5" s="1"/>
  <c r="L96" i="5" s="1"/>
  <c r="L116" i="5" s="1"/>
  <c r="F80" i="4"/>
  <c r="F44" i="5" s="1"/>
  <c r="D44" i="4"/>
  <c r="D38" i="5" s="1"/>
  <c r="E69" i="4"/>
  <c r="H56" i="4"/>
  <c r="Q80" i="4"/>
  <c r="Q44" i="5" s="1"/>
  <c r="R69" i="4"/>
  <c r="M44" i="4"/>
  <c r="D29" i="4"/>
  <c r="D65" i="5" s="1"/>
  <c r="D66" i="5" s="1"/>
  <c r="D96" i="5" s="1"/>
  <c r="D116" i="5" s="1"/>
  <c r="J56" i="4"/>
  <c r="P42" i="5" l="1"/>
  <c r="L118" i="4"/>
  <c r="D46" i="5"/>
  <c r="D95" i="5" s="1"/>
  <c r="D115" i="5" s="1"/>
  <c r="D118" i="5" s="1"/>
  <c r="I42" i="5"/>
  <c r="R40" i="5"/>
  <c r="E38" i="5"/>
  <c r="M42" i="5"/>
  <c r="H40" i="5"/>
  <c r="F38" i="5"/>
  <c r="P38" i="5"/>
  <c r="G38" i="5"/>
  <c r="L42" i="5"/>
  <c r="K42" i="5"/>
  <c r="R38" i="5"/>
  <c r="M38" i="5"/>
  <c r="M46" i="5" s="1"/>
  <c r="M95" i="5" s="1"/>
  <c r="M58" i="5"/>
  <c r="M103" i="5" s="1"/>
  <c r="G42" i="5"/>
  <c r="L38" i="5"/>
  <c r="O40" i="5"/>
  <c r="H42" i="5"/>
  <c r="J40" i="5"/>
  <c r="O42" i="5"/>
  <c r="K40" i="5"/>
  <c r="Q40" i="5"/>
  <c r="D58" i="5"/>
  <c r="D103" i="5" s="1"/>
  <c r="I40" i="5"/>
  <c r="J42" i="5"/>
  <c r="F42" i="5"/>
  <c r="S42" i="5"/>
  <c r="N38" i="5"/>
  <c r="O38" i="5"/>
  <c r="S38" i="5"/>
  <c r="E42" i="5"/>
  <c r="F40" i="5"/>
  <c r="J38" i="5"/>
  <c r="Q38" i="5"/>
  <c r="Q42" i="5"/>
  <c r="R42" i="5"/>
  <c r="G40" i="5"/>
  <c r="H38" i="5"/>
  <c r="P40" i="5"/>
  <c r="N40" i="5"/>
  <c r="L40" i="5"/>
  <c r="S40" i="5"/>
  <c r="N42" i="5"/>
  <c r="N118" i="4"/>
  <c r="O118" i="4"/>
  <c r="R118" i="4"/>
  <c r="P118" i="4"/>
  <c r="M118" i="4"/>
  <c r="Q118" i="4"/>
  <c r="S118" i="4"/>
  <c r="K118" i="4"/>
  <c r="E107" i="4"/>
  <c r="I46" i="5" l="1"/>
  <c r="I95" i="5" s="1"/>
  <c r="I58" i="5"/>
  <c r="I103" i="5" s="1"/>
  <c r="I106" i="5" s="1"/>
  <c r="I153" i="5" s="1"/>
  <c r="I154" i="5" s="1"/>
  <c r="K46" i="5"/>
  <c r="K95" i="5" s="1"/>
  <c r="K115" i="5" s="1"/>
  <c r="K118" i="5" s="1"/>
  <c r="D98" i="5"/>
  <c r="D137" i="5" s="1"/>
  <c r="D138" i="5" s="1"/>
  <c r="R46" i="5"/>
  <c r="R95" i="5" s="1"/>
  <c r="R115" i="5" s="1"/>
  <c r="R118" i="5" s="1"/>
  <c r="O58" i="5"/>
  <c r="O103" i="5" s="1"/>
  <c r="O106" i="5" s="1"/>
  <c r="O153" i="5" s="1"/>
  <c r="O154" i="5" s="1"/>
  <c r="J46" i="5"/>
  <c r="J95" i="5" s="1"/>
  <c r="J98" i="5" s="1"/>
  <c r="J137" i="5" s="1"/>
  <c r="J138" i="5" s="1"/>
  <c r="K58" i="5"/>
  <c r="K103" i="5" s="1"/>
  <c r="K123" i="5" s="1"/>
  <c r="K126" i="5" s="1"/>
  <c r="E46" i="5"/>
  <c r="E95" i="5" s="1"/>
  <c r="E115" i="5" s="1"/>
  <c r="E118" i="5" s="1"/>
  <c r="G46" i="5"/>
  <c r="G95" i="5" s="1"/>
  <c r="I115" i="5"/>
  <c r="I118" i="5" s="1"/>
  <c r="I98" i="5"/>
  <c r="I137" i="5" s="1"/>
  <c r="I138" i="5" s="1"/>
  <c r="M115" i="5"/>
  <c r="M118" i="5" s="1"/>
  <c r="M98" i="5"/>
  <c r="M137" i="5" s="1"/>
  <c r="M138" i="5" s="1"/>
  <c r="G58" i="5"/>
  <c r="G103" i="5" s="1"/>
  <c r="N58" i="5"/>
  <c r="N103" i="5" s="1"/>
  <c r="E58" i="5"/>
  <c r="E103" i="5" s="1"/>
  <c r="M123" i="5"/>
  <c r="M126" i="5" s="1"/>
  <c r="M106" i="5"/>
  <c r="M153" i="5" s="1"/>
  <c r="M154" i="5" s="1"/>
  <c r="P46" i="5"/>
  <c r="P95" i="5" s="1"/>
  <c r="L46" i="5"/>
  <c r="L95" i="5" s="1"/>
  <c r="F46" i="5"/>
  <c r="F95" i="5" s="1"/>
  <c r="H46" i="5"/>
  <c r="H95" i="5" s="1"/>
  <c r="Q58" i="5"/>
  <c r="Q103" i="5" s="1"/>
  <c r="S46" i="5"/>
  <c r="S95" i="5" s="1"/>
  <c r="L58" i="5"/>
  <c r="L103" i="5" s="1"/>
  <c r="F58" i="5"/>
  <c r="F103" i="5" s="1"/>
  <c r="H58" i="5"/>
  <c r="H103" i="5" s="1"/>
  <c r="Q46" i="5"/>
  <c r="Q95" i="5" s="1"/>
  <c r="S58" i="5"/>
  <c r="S103" i="5" s="1"/>
  <c r="G115" i="5"/>
  <c r="G118" i="5" s="1"/>
  <c r="G98" i="5"/>
  <c r="G137" i="5" s="1"/>
  <c r="G138" i="5" s="1"/>
  <c r="N46" i="5"/>
  <c r="N95" i="5" s="1"/>
  <c r="R58" i="5"/>
  <c r="R103" i="5" s="1"/>
  <c r="P58" i="5"/>
  <c r="P103" i="5" s="1"/>
  <c r="J58" i="5"/>
  <c r="J103" i="5" s="1"/>
  <c r="O46" i="5"/>
  <c r="O95" i="5" s="1"/>
  <c r="D106" i="5"/>
  <c r="D153" i="5" s="1"/>
  <c r="D154" i="5" s="1"/>
  <c r="D123" i="5"/>
  <c r="D126" i="5" s="1"/>
  <c r="E108" i="4"/>
  <c r="E119" i="4" s="1"/>
  <c r="F119" i="4"/>
  <c r="D119" i="4"/>
  <c r="O123" i="5" l="1"/>
  <c r="O126" i="5" s="1"/>
  <c r="I123" i="5"/>
  <c r="I126" i="5" s="1"/>
  <c r="R98" i="5"/>
  <c r="R137" i="5" s="1"/>
  <c r="R138" i="5" s="1"/>
  <c r="J115" i="5"/>
  <c r="J118" i="5" s="1"/>
  <c r="K98" i="5"/>
  <c r="K137" i="5" s="1"/>
  <c r="K138" i="5" s="1"/>
  <c r="E98" i="5"/>
  <c r="E137" i="5" s="1"/>
  <c r="E138" i="5" s="1"/>
  <c r="K106" i="5"/>
  <c r="K153" i="5" s="1"/>
  <c r="K154" i="5" s="1"/>
  <c r="R123" i="5"/>
  <c r="R126" i="5" s="1"/>
  <c r="R106" i="5"/>
  <c r="R153" i="5" s="1"/>
  <c r="R154" i="5" s="1"/>
  <c r="J106" i="5"/>
  <c r="J153" i="5" s="1"/>
  <c r="J154" i="5" s="1"/>
  <c r="J123" i="5"/>
  <c r="J126" i="5" s="1"/>
  <c r="P123" i="5"/>
  <c r="P126" i="5" s="1"/>
  <c r="P106" i="5"/>
  <c r="P153" i="5" s="1"/>
  <c r="P154" i="5" s="1"/>
  <c r="N115" i="5"/>
  <c r="N118" i="5" s="1"/>
  <c r="N98" i="5"/>
  <c r="N137" i="5" s="1"/>
  <c r="N138" i="5" s="1"/>
  <c r="E123" i="5"/>
  <c r="E126" i="5" s="1"/>
  <c r="E106" i="5"/>
  <c r="E153" i="5" s="1"/>
  <c r="E154" i="5" s="1"/>
  <c r="Q106" i="5"/>
  <c r="Q153" i="5" s="1"/>
  <c r="Q154" i="5" s="1"/>
  <c r="Q123" i="5"/>
  <c r="Q126" i="5" s="1"/>
  <c r="L115" i="5"/>
  <c r="L118" i="5" s="1"/>
  <c r="L98" i="5"/>
  <c r="L137" i="5" s="1"/>
  <c r="L138" i="5" s="1"/>
  <c r="H123" i="5"/>
  <c r="H126" i="5" s="1"/>
  <c r="H106" i="5"/>
  <c r="H153" i="5" s="1"/>
  <c r="H154" i="5" s="1"/>
  <c r="F115" i="5"/>
  <c r="F118" i="5" s="1"/>
  <c r="F98" i="5"/>
  <c r="F137" i="5" s="1"/>
  <c r="F138" i="5" s="1"/>
  <c r="L123" i="5"/>
  <c r="L126" i="5" s="1"/>
  <c r="L106" i="5"/>
  <c r="L153" i="5" s="1"/>
  <c r="L154" i="5" s="1"/>
  <c r="P98" i="5"/>
  <c r="P137" i="5" s="1"/>
  <c r="P138" i="5" s="1"/>
  <c r="P115" i="5"/>
  <c r="P118" i="5" s="1"/>
  <c r="H98" i="5"/>
  <c r="H137" i="5" s="1"/>
  <c r="H138" i="5" s="1"/>
  <c r="H115" i="5"/>
  <c r="H118" i="5" s="1"/>
  <c r="N123" i="5"/>
  <c r="N126" i="5" s="1"/>
  <c r="N106" i="5"/>
  <c r="N153" i="5" s="1"/>
  <c r="N154" i="5" s="1"/>
  <c r="F123" i="5"/>
  <c r="F126" i="5" s="1"/>
  <c r="F106" i="5"/>
  <c r="F153" i="5" s="1"/>
  <c r="F154" i="5" s="1"/>
  <c r="S106" i="5"/>
  <c r="S153" i="5" s="1"/>
  <c r="S123" i="5"/>
  <c r="S126" i="5" s="1"/>
  <c r="O115" i="5"/>
  <c r="O118" i="5" s="1"/>
  <c r="O98" i="5"/>
  <c r="O137" i="5" s="1"/>
  <c r="O138" i="5" s="1"/>
  <c r="Q115" i="5"/>
  <c r="Q118" i="5" s="1"/>
  <c r="Q98" i="5"/>
  <c r="Q137" i="5" s="1"/>
  <c r="Q138" i="5" s="1"/>
  <c r="S115" i="5"/>
  <c r="S118" i="5" s="1"/>
  <c r="S98" i="5"/>
  <c r="S137" i="5" s="1"/>
  <c r="G106" i="5"/>
  <c r="G153" i="5" s="1"/>
  <c r="G154" i="5" s="1"/>
  <c r="G123" i="5"/>
  <c r="G126" i="5" s="1"/>
  <c r="M119" i="4"/>
  <c r="K119" i="4"/>
  <c r="I119" i="4"/>
  <c r="O119" i="4"/>
  <c r="H119" i="4"/>
  <c r="L119" i="4"/>
  <c r="G119" i="4"/>
  <c r="R119" i="4"/>
  <c r="D124" i="4"/>
  <c r="N119" i="4" l="1"/>
  <c r="S119" i="4"/>
  <c r="Q119" i="4"/>
  <c r="P119" i="4"/>
  <c r="E124" i="4"/>
  <c r="J119" i="4" l="1"/>
  <c r="H124" i="4"/>
  <c r="F124" i="4" l="1"/>
  <c r="G124" i="4"/>
  <c r="I124" i="4" l="1"/>
  <c r="R124" i="4"/>
  <c r="N124" i="4"/>
  <c r="J124" i="4" l="1"/>
  <c r="K124" i="4"/>
  <c r="M124" i="4"/>
  <c r="O124" i="4"/>
  <c r="S124" i="4"/>
  <c r="P124" i="4"/>
  <c r="Q124" i="4"/>
  <c r="L124" i="4"/>
  <c r="S21" i="6" l="1"/>
  <c r="S150" i="5"/>
  <c r="S154" i="5" s="1"/>
  <c r="D203" i="3" l="1"/>
  <c r="D201" i="3"/>
  <c r="D199" i="3"/>
  <c r="E172" i="3"/>
  <c r="G182" i="3" l="1"/>
  <c r="E182" i="3"/>
  <c r="E183" i="3" s="1"/>
  <c r="G183" i="3"/>
  <c r="C182" i="3"/>
  <c r="E177" i="3"/>
  <c r="G177" i="3"/>
  <c r="C177" i="3"/>
  <c r="C172" i="3" s="1"/>
  <c r="C183" i="3" s="1"/>
  <c r="G172" i="3"/>
  <c r="G176" i="3"/>
  <c r="E176" i="3"/>
  <c r="C176" i="3"/>
  <c r="D167" i="3"/>
  <c r="E155" i="3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E113" i="3"/>
  <c r="F113" i="3" s="1"/>
  <c r="G113" i="3" s="1"/>
  <c r="H113" i="3" s="1"/>
  <c r="I113" i="3" s="1"/>
  <c r="J113" i="3" s="1"/>
  <c r="K113" i="3" s="1"/>
  <c r="L113" i="3" s="1"/>
  <c r="M113" i="3" s="1"/>
  <c r="N113" i="3" s="1"/>
  <c r="O113" i="3" s="1"/>
  <c r="P113" i="3" s="1"/>
  <c r="Q113" i="3" s="1"/>
  <c r="R113" i="3" s="1"/>
  <c r="S113" i="3" s="1"/>
  <c r="G10" i="4" l="1"/>
  <c r="G9" i="4" s="1"/>
  <c r="S10" i="4"/>
  <c r="S9" i="4" s="1"/>
  <c r="F10" i="4"/>
  <c r="F9" i="4" s="1"/>
  <c r="M10" i="4"/>
  <c r="M9" i="4" s="1"/>
  <c r="E10" i="4"/>
  <c r="E9" i="4" s="1"/>
  <c r="D10" i="4"/>
  <c r="D9" i="4" s="1"/>
  <c r="L10" i="4"/>
  <c r="L9" i="4" s="1"/>
  <c r="Q10" i="4"/>
  <c r="Q9" i="4" s="1"/>
  <c r="I10" i="4"/>
  <c r="I9" i="4" s="1"/>
  <c r="P10" i="4"/>
  <c r="P9" i="4" s="1"/>
  <c r="H10" i="4"/>
  <c r="H9" i="4" s="1"/>
  <c r="K10" i="4"/>
  <c r="K9" i="4" s="1"/>
  <c r="O10" i="4"/>
  <c r="O9" i="4" s="1"/>
  <c r="N10" i="4"/>
  <c r="N9" i="4" s="1"/>
  <c r="R10" i="4"/>
  <c r="R9" i="4" s="1"/>
  <c r="J10" i="4"/>
  <c r="J9" i="4" s="1"/>
  <c r="K8" i="4"/>
  <c r="K7" i="4" s="1"/>
  <c r="F8" i="4"/>
  <c r="F7" i="4" s="1"/>
  <c r="I8" i="4"/>
  <c r="I7" i="4" s="1"/>
  <c r="L8" i="4"/>
  <c r="L7" i="4" s="1"/>
  <c r="D8" i="4"/>
  <c r="D7" i="4" s="1"/>
  <c r="P8" i="4"/>
  <c r="P7" i="4" s="1"/>
  <c r="H8" i="4"/>
  <c r="H7" i="4" s="1"/>
  <c r="G8" i="4"/>
  <c r="G7" i="4" s="1"/>
  <c r="M8" i="4"/>
  <c r="M7" i="4" s="1"/>
  <c r="R8" i="4"/>
  <c r="R7" i="4" s="1"/>
  <c r="Q8" i="4"/>
  <c r="Q7" i="4" s="1"/>
  <c r="E8" i="4"/>
  <c r="E7" i="4" s="1"/>
  <c r="N8" i="4"/>
  <c r="N7" i="4" s="1"/>
  <c r="S8" i="4"/>
  <c r="S7" i="4" s="1"/>
  <c r="O8" i="4"/>
  <c r="O7" i="4" s="1"/>
  <c r="J8" i="4"/>
  <c r="J7" i="4" s="1"/>
  <c r="F155" i="3"/>
  <c r="S10" i="6" l="1"/>
  <c r="S135" i="5"/>
  <c r="P10" i="6"/>
  <c r="P135" i="5"/>
  <c r="N10" i="6"/>
  <c r="N11" i="6" s="1"/>
  <c r="N135" i="5"/>
  <c r="N136" i="5" s="1"/>
  <c r="N139" i="5" s="1"/>
  <c r="N140" i="5" s="1"/>
  <c r="D10" i="6"/>
  <c r="D135" i="5"/>
  <c r="D136" i="5" s="1"/>
  <c r="E10" i="6"/>
  <c r="E135" i="5"/>
  <c r="L10" i="6"/>
  <c r="L135" i="5"/>
  <c r="L136" i="5" s="1"/>
  <c r="L139" i="5" s="1"/>
  <c r="L140" i="5" s="1"/>
  <c r="Q10" i="6"/>
  <c r="Q135" i="5"/>
  <c r="I10" i="6"/>
  <c r="I135" i="5"/>
  <c r="I136" i="5" s="1"/>
  <c r="R10" i="6"/>
  <c r="R135" i="5"/>
  <c r="F10" i="6"/>
  <c r="F135" i="5"/>
  <c r="M10" i="6"/>
  <c r="M135" i="5"/>
  <c r="K10" i="6"/>
  <c r="K135" i="5"/>
  <c r="K136" i="5" s="1"/>
  <c r="J10" i="6"/>
  <c r="J135" i="5"/>
  <c r="J136" i="5" s="1"/>
  <c r="G10" i="6"/>
  <c r="G135" i="5"/>
  <c r="O135" i="5"/>
  <c r="O10" i="6"/>
  <c r="H10" i="6"/>
  <c r="H135" i="5"/>
  <c r="H136" i="5" s="1"/>
  <c r="O151" i="5"/>
  <c r="O152" i="5" s="1"/>
  <c r="O155" i="5" s="1"/>
  <c r="O156" i="5" s="1"/>
  <c r="O22" i="6"/>
  <c r="O23" i="6" s="1"/>
  <c r="P151" i="5"/>
  <c r="P152" i="5" s="1"/>
  <c r="P155" i="5" s="1"/>
  <c r="P156" i="5" s="1"/>
  <c r="P22" i="6"/>
  <c r="P23" i="6" s="1"/>
  <c r="O136" i="5"/>
  <c r="O139" i="5" s="1"/>
  <c r="O140" i="5" s="1"/>
  <c r="O11" i="6"/>
  <c r="E136" i="5"/>
  <c r="H22" i="6"/>
  <c r="H151" i="5"/>
  <c r="H152" i="5" s="1"/>
  <c r="E22" i="6"/>
  <c r="E151" i="5"/>
  <c r="E152" i="5" s="1"/>
  <c r="M136" i="5"/>
  <c r="M139" i="5" s="1"/>
  <c r="M140" i="5" s="1"/>
  <c r="M11" i="6"/>
  <c r="G151" i="5"/>
  <c r="G152" i="5" s="1"/>
  <c r="G22" i="6"/>
  <c r="L11" i="6"/>
  <c r="D22" i="6"/>
  <c r="D151" i="5"/>
  <c r="D152" i="5" s="1"/>
  <c r="Q151" i="5"/>
  <c r="Q152" i="5" s="1"/>
  <c r="Q155" i="5" s="1"/>
  <c r="Q156" i="5" s="1"/>
  <c r="Q22" i="6"/>
  <c r="Q23" i="6" s="1"/>
  <c r="I22" i="6"/>
  <c r="I151" i="5"/>
  <c r="I152" i="5" s="1"/>
  <c r="F136" i="5"/>
  <c r="Q11" i="6"/>
  <c r="Q136" i="5"/>
  <c r="Q139" i="5" s="1"/>
  <c r="Q140" i="5" s="1"/>
  <c r="S151" i="5"/>
  <c r="S152" i="5" s="1"/>
  <c r="S155" i="5" s="1"/>
  <c r="S156" i="5" s="1"/>
  <c r="S22" i="6"/>
  <c r="S23" i="6" s="1"/>
  <c r="N22" i="6"/>
  <c r="N23" i="6" s="1"/>
  <c r="N151" i="5"/>
  <c r="N152" i="5" s="1"/>
  <c r="N155" i="5" s="1"/>
  <c r="N156" i="5" s="1"/>
  <c r="R22" i="6"/>
  <c r="R23" i="6" s="1"/>
  <c r="R151" i="5"/>
  <c r="R152" i="5" s="1"/>
  <c r="R155" i="5" s="1"/>
  <c r="R156" i="5" s="1"/>
  <c r="F22" i="6"/>
  <c r="F151" i="5"/>
  <c r="F152" i="5" s="1"/>
  <c r="P136" i="5"/>
  <c r="P139" i="5" s="1"/>
  <c r="P140" i="5" s="1"/>
  <c r="P11" i="6"/>
  <c r="S136" i="5"/>
  <c r="S139" i="5" s="1"/>
  <c r="J151" i="5"/>
  <c r="J152" i="5" s="1"/>
  <c r="J22" i="6"/>
  <c r="R11" i="6"/>
  <c r="R136" i="5"/>
  <c r="R139" i="5" s="1"/>
  <c r="R140" i="5" s="1"/>
  <c r="L151" i="5"/>
  <c r="L152" i="5" s="1"/>
  <c r="L155" i="5" s="1"/>
  <c r="L156" i="5" s="1"/>
  <c r="L22" i="6"/>
  <c r="L23" i="6" s="1"/>
  <c r="M151" i="5"/>
  <c r="M152" i="5" s="1"/>
  <c r="M155" i="5" s="1"/>
  <c r="M156" i="5" s="1"/>
  <c r="M22" i="6"/>
  <c r="M23" i="6" s="1"/>
  <c r="K22" i="6"/>
  <c r="K151" i="5"/>
  <c r="K152" i="5" s="1"/>
  <c r="G136" i="5"/>
  <c r="G155" i="3"/>
  <c r="H155" i="3" l="1"/>
  <c r="I155" i="3" l="1"/>
  <c r="J155" i="3" l="1"/>
  <c r="K155" i="3" l="1"/>
  <c r="L155" i="3" l="1"/>
  <c r="M155" i="3" l="1"/>
  <c r="N155" i="3" l="1"/>
  <c r="O155" i="3" l="1"/>
  <c r="P155" i="3" l="1"/>
  <c r="Q155" i="3" l="1"/>
  <c r="R155" i="3" l="1"/>
  <c r="S155" i="3" l="1"/>
  <c r="B145" i="3" l="1"/>
  <c r="B143" i="3"/>
  <c r="E142" i="3"/>
  <c r="F142" i="3" s="1"/>
  <c r="G142" i="3" s="1"/>
  <c r="H142" i="3" s="1"/>
  <c r="I142" i="3" s="1"/>
  <c r="J142" i="3" s="1"/>
  <c r="K142" i="3" s="1"/>
  <c r="D21" i="3"/>
  <c r="D22" i="3" s="1"/>
  <c r="D18" i="3"/>
  <c r="B135" i="3" l="1"/>
  <c r="B136" i="3"/>
  <c r="B133" i="3" l="1"/>
  <c r="E132" i="3"/>
  <c r="F132" i="3" s="1"/>
  <c r="G132" i="3" s="1"/>
  <c r="H132" i="3" s="1"/>
  <c r="I132" i="3" s="1"/>
  <c r="J132" i="3" s="1"/>
  <c r="K132" i="3" s="1"/>
  <c r="D87" i="3"/>
  <c r="B86" i="3"/>
  <c r="B100" i="3" s="1"/>
  <c r="B87" i="3"/>
  <c r="B101" i="3" s="1"/>
  <c r="B85" i="3"/>
  <c r="B99" i="3" s="1"/>
  <c r="B82" i="3"/>
  <c r="B96" i="3" s="1"/>
  <c r="B81" i="3"/>
  <c r="B95" i="3" s="1"/>
  <c r="B80" i="3"/>
  <c r="B94" i="3" s="1"/>
  <c r="B126" i="3"/>
  <c r="D110" i="3"/>
  <c r="E110" i="3" s="1"/>
  <c r="F110" i="3" s="1"/>
  <c r="G110" i="3" s="1"/>
  <c r="H110" i="3" s="1"/>
  <c r="I110" i="3" s="1"/>
  <c r="J110" i="3" s="1"/>
  <c r="K110" i="3" s="1"/>
  <c r="E125" i="3"/>
  <c r="F125" i="3" s="1"/>
  <c r="G125" i="3" s="1"/>
  <c r="H125" i="3" s="1"/>
  <c r="I125" i="3" s="1"/>
  <c r="J125" i="3" s="1"/>
  <c r="K125" i="3" s="1"/>
  <c r="D116" i="3" l="1"/>
  <c r="E106" i="3"/>
  <c r="F106" i="3" s="1"/>
  <c r="G106" i="3" s="1"/>
  <c r="H106" i="3" s="1"/>
  <c r="I106" i="3" s="1"/>
  <c r="J106" i="3" s="1"/>
  <c r="K106" i="3" s="1"/>
  <c r="D109" i="3" l="1"/>
  <c r="E109" i="3"/>
  <c r="E156" i="3" s="1"/>
  <c r="E157" i="3" s="1"/>
  <c r="F109" i="3"/>
  <c r="F156" i="3" s="1"/>
  <c r="F157" i="3" s="1"/>
  <c r="K109" i="3"/>
  <c r="K156" i="3" s="1"/>
  <c r="G109" i="3"/>
  <c r="G156" i="3" s="1"/>
  <c r="G157" i="3" s="1"/>
  <c r="H109" i="3"/>
  <c r="H156" i="3" s="1"/>
  <c r="H157" i="3" s="1"/>
  <c r="I109" i="3"/>
  <c r="I156" i="3" s="1"/>
  <c r="I157" i="3" s="1"/>
  <c r="J109" i="3"/>
  <c r="J156" i="3" s="1"/>
  <c r="J157" i="3" s="1"/>
  <c r="E118" i="3"/>
  <c r="E119" i="3"/>
  <c r="E117" i="3"/>
  <c r="D81" i="3"/>
  <c r="D82" i="3"/>
  <c r="D85" i="3"/>
  <c r="D86" i="3"/>
  <c r="D80" i="3"/>
  <c r="C37" i="3"/>
  <c r="F29" i="3"/>
  <c r="G29" i="3" s="1"/>
  <c r="H29" i="3" s="1"/>
  <c r="I29" i="3" s="1"/>
  <c r="J29" i="3" s="1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I11" i="3"/>
  <c r="H11" i="3"/>
  <c r="G11" i="3"/>
  <c r="F11" i="3"/>
  <c r="AJ21" i="3"/>
  <c r="AJ22" i="3" s="1"/>
  <c r="AI21" i="3"/>
  <c r="AI22" i="3" s="1"/>
  <c r="AH21" i="3"/>
  <c r="AH22" i="3" s="1"/>
  <c r="AG21" i="3"/>
  <c r="AG22" i="3" s="1"/>
  <c r="AF21" i="3"/>
  <c r="AF22" i="3" s="1"/>
  <c r="AF42" i="3" s="1"/>
  <c r="AE21" i="3"/>
  <c r="AE22" i="3" s="1"/>
  <c r="AD21" i="3"/>
  <c r="AD22" i="3" s="1"/>
  <c r="AC21" i="3"/>
  <c r="AC22" i="3" s="1"/>
  <c r="AC45" i="3" s="1"/>
  <c r="AB21" i="3"/>
  <c r="AB22" i="3" s="1"/>
  <c r="AA21" i="3"/>
  <c r="AA22" i="3" s="1"/>
  <c r="Z21" i="3"/>
  <c r="Z22" i="3" s="1"/>
  <c r="Y21" i="3"/>
  <c r="Y22" i="3" s="1"/>
  <c r="X21" i="3"/>
  <c r="X22" i="3" s="1"/>
  <c r="X45" i="3" s="1"/>
  <c r="W21" i="3"/>
  <c r="W22" i="3" s="1"/>
  <c r="W42" i="3" s="1"/>
  <c r="V21" i="3"/>
  <c r="V22" i="3" s="1"/>
  <c r="V45" i="3" s="1"/>
  <c r="U21" i="3"/>
  <c r="U22" i="3" s="1"/>
  <c r="U42" i="3" s="1"/>
  <c r="T21" i="3"/>
  <c r="T22" i="3" s="1"/>
  <c r="S21" i="3"/>
  <c r="S22" i="3" s="1"/>
  <c r="R21" i="3"/>
  <c r="R22" i="3" s="1"/>
  <c r="Q21" i="3"/>
  <c r="Q22" i="3" s="1"/>
  <c r="P21" i="3"/>
  <c r="P22" i="3" s="1"/>
  <c r="P42" i="3" s="1"/>
  <c r="O21" i="3"/>
  <c r="O22" i="3" s="1"/>
  <c r="O45" i="3" s="1"/>
  <c r="N21" i="3"/>
  <c r="N22" i="3" s="1"/>
  <c r="N45" i="3" s="1"/>
  <c r="M21" i="3"/>
  <c r="M22" i="3" s="1"/>
  <c r="M45" i="3" s="1"/>
  <c r="L21" i="3"/>
  <c r="L22" i="3" s="1"/>
  <c r="K21" i="3"/>
  <c r="K22" i="3" s="1"/>
  <c r="J21" i="3"/>
  <c r="J22" i="3" s="1"/>
  <c r="I21" i="3"/>
  <c r="I22" i="3" s="1"/>
  <c r="H21" i="3"/>
  <c r="H22" i="3" s="1"/>
  <c r="H45" i="3" s="1"/>
  <c r="G21" i="3"/>
  <c r="G22" i="3" s="1"/>
  <c r="G42" i="3" s="1"/>
  <c r="F21" i="3"/>
  <c r="F22" i="3" s="1"/>
  <c r="F42" i="3" s="1"/>
  <c r="E21" i="3"/>
  <c r="E22" i="3" s="1"/>
  <c r="E45" i="3" s="1"/>
  <c r="J10" i="3"/>
  <c r="J11" i="3" s="1"/>
  <c r="I10" i="3"/>
  <c r="H10" i="3"/>
  <c r="G10" i="3"/>
  <c r="F10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J7" i="3"/>
  <c r="I7" i="3"/>
  <c r="H7" i="3"/>
  <c r="G7" i="3"/>
  <c r="F7" i="3"/>
  <c r="F6" i="3"/>
  <c r="G6" i="3" s="1"/>
  <c r="H6" i="3" s="1"/>
  <c r="I6" i="3" s="1"/>
  <c r="J6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L156" i="3" l="1"/>
  <c r="K157" i="3"/>
  <c r="D111" i="3"/>
  <c r="D147" i="3" s="1"/>
  <c r="D156" i="3"/>
  <c r="D157" i="3" s="1"/>
  <c r="E111" i="3"/>
  <c r="E147" i="3" s="1"/>
  <c r="F111" i="3"/>
  <c r="AE42" i="3"/>
  <c r="AE45" i="3"/>
  <c r="AD42" i="3"/>
  <c r="AD45" i="3"/>
  <c r="T42" i="3"/>
  <c r="T45" i="3"/>
  <c r="D42" i="3"/>
  <c r="D45" i="3"/>
  <c r="L42" i="3"/>
  <c r="L45" i="3"/>
  <c r="AB42" i="3"/>
  <c r="AB45" i="3"/>
  <c r="AJ45" i="3"/>
  <c r="AJ42" i="3"/>
  <c r="Y45" i="3"/>
  <c r="Y42" i="3"/>
  <c r="I45" i="3"/>
  <c r="I42" i="3"/>
  <c r="Q45" i="3"/>
  <c r="Q42" i="3"/>
  <c r="AG45" i="3"/>
  <c r="AG42" i="3"/>
  <c r="J45" i="3"/>
  <c r="J42" i="3"/>
  <c r="R45" i="3"/>
  <c r="R42" i="3"/>
  <c r="Z45" i="3"/>
  <c r="Z42" i="3"/>
  <c r="AH45" i="3"/>
  <c r="AH42" i="3"/>
  <c r="K42" i="3"/>
  <c r="K45" i="3"/>
  <c r="S42" i="3"/>
  <c r="S45" i="3"/>
  <c r="AA42" i="3"/>
  <c r="AA45" i="3"/>
  <c r="AI42" i="3"/>
  <c r="AI45" i="3"/>
  <c r="M42" i="3"/>
  <c r="AC42" i="3"/>
  <c r="N42" i="3"/>
  <c r="O42" i="3"/>
  <c r="U45" i="3"/>
  <c r="H42" i="3"/>
  <c r="X42" i="3"/>
  <c r="F45" i="3"/>
  <c r="G45" i="3"/>
  <c r="W45" i="3"/>
  <c r="P45" i="3"/>
  <c r="AF45" i="3"/>
  <c r="E42" i="3"/>
  <c r="V42" i="3"/>
  <c r="F147" i="3" l="1"/>
  <c r="N114" i="3"/>
  <c r="D126" i="3"/>
  <c r="D127" i="3" s="1"/>
  <c r="D13" i="5" s="1"/>
  <c r="D14" i="5" s="1"/>
  <c r="D149" i="5" s="1"/>
  <c r="D155" i="5" s="1"/>
  <c r="D156" i="5" s="1"/>
  <c r="E127" i="3"/>
  <c r="E13" i="5" s="1"/>
  <c r="E14" i="5" s="1"/>
  <c r="E149" i="5" s="1"/>
  <c r="E155" i="5" s="1"/>
  <c r="M156" i="3"/>
  <c r="L157" i="3"/>
  <c r="G111" i="3"/>
  <c r="G147" i="3" s="1"/>
  <c r="F127" i="3"/>
  <c r="F13" i="5" s="1"/>
  <c r="F14" i="5" s="1"/>
  <c r="F149" i="5" s="1"/>
  <c r="F155" i="5" s="1"/>
  <c r="F156" i="5" s="1"/>
  <c r="D135" i="3"/>
  <c r="E135" i="3"/>
  <c r="E137" i="3" s="1"/>
  <c r="E20" i="5" s="1"/>
  <c r="D134" i="3"/>
  <c r="D19" i="5" s="1"/>
  <c r="E134" i="3"/>
  <c r="E19" i="5" s="1"/>
  <c r="E21" i="5" l="1"/>
  <c r="E133" i="5" s="1"/>
  <c r="E139" i="5" s="1"/>
  <c r="E140" i="5" s="1"/>
  <c r="E156" i="5"/>
  <c r="F19" i="6"/>
  <c r="F23" i="6" s="1"/>
  <c r="E19" i="6"/>
  <c r="E23" i="6" s="1"/>
  <c r="D19" i="6"/>
  <c r="D23" i="6" s="1"/>
  <c r="N156" i="3"/>
  <c r="M157" i="3"/>
  <c r="H111" i="3"/>
  <c r="G127" i="3"/>
  <c r="G13" i="5" s="1"/>
  <c r="G14" i="5" s="1"/>
  <c r="G149" i="5" s="1"/>
  <c r="G155" i="5" s="1"/>
  <c r="G156" i="5" s="1"/>
  <c r="D137" i="3"/>
  <c r="G135" i="3"/>
  <c r="G137" i="3" s="1"/>
  <c r="G20" i="5" s="1"/>
  <c r="F135" i="3"/>
  <c r="F137" i="3" s="1"/>
  <c r="E138" i="3"/>
  <c r="E7" i="6" s="1"/>
  <c r="E11" i="6" s="1"/>
  <c r="G134" i="3"/>
  <c r="G19" i="5" s="1"/>
  <c r="G21" i="5" s="1"/>
  <c r="I111" i="3"/>
  <c r="I147" i="3" s="1"/>
  <c r="F134" i="3"/>
  <c r="H127" i="3"/>
  <c r="H13" i="5" s="1"/>
  <c r="H14" i="5" s="1"/>
  <c r="H149" i="5" s="1"/>
  <c r="H155" i="5" s="1"/>
  <c r="H156" i="5" s="1"/>
  <c r="D138" i="3" l="1"/>
  <c r="D7" i="6" s="1"/>
  <c r="D11" i="6" s="1"/>
  <c r="D20" i="5"/>
  <c r="D21" i="5" s="1"/>
  <c r="D133" i="5" s="1"/>
  <c r="D139" i="5" s="1"/>
  <c r="D140" i="5" s="1"/>
  <c r="F20" i="5"/>
  <c r="G19" i="6"/>
  <c r="G23" i="6" s="1"/>
  <c r="G133" i="5"/>
  <c r="G139" i="5" s="1"/>
  <c r="G140" i="5" s="1"/>
  <c r="F19" i="5"/>
  <c r="H147" i="3"/>
  <c r="H19" i="6" s="1"/>
  <c r="H23" i="6" s="1"/>
  <c r="P114" i="3"/>
  <c r="O156" i="3"/>
  <c r="N157" i="3"/>
  <c r="I127" i="3"/>
  <c r="I13" i="5" s="1"/>
  <c r="I14" i="5" s="1"/>
  <c r="I149" i="5" s="1"/>
  <c r="I155" i="5" s="1"/>
  <c r="I156" i="5" s="1"/>
  <c r="F138" i="3"/>
  <c r="F7" i="6" s="1"/>
  <c r="F11" i="6" s="1"/>
  <c r="J111" i="3"/>
  <c r="H135" i="3"/>
  <c r="G138" i="3"/>
  <c r="G7" i="6" s="1"/>
  <c r="G11" i="6" s="1"/>
  <c r="H134" i="3"/>
  <c r="F21" i="5" l="1"/>
  <c r="F133" i="5" s="1"/>
  <c r="F139" i="5" s="1"/>
  <c r="F140" i="5" s="1"/>
  <c r="I99" i="4"/>
  <c r="H99" i="4"/>
  <c r="L99" i="4"/>
  <c r="K99" i="4"/>
  <c r="M99" i="4"/>
  <c r="G99" i="4"/>
  <c r="N99" i="4"/>
  <c r="J99" i="4"/>
  <c r="F99" i="4"/>
  <c r="F100" i="4" s="1"/>
  <c r="F107" i="4" s="1"/>
  <c r="H19" i="5"/>
  <c r="I19" i="6"/>
  <c r="I23" i="6" s="1"/>
  <c r="K89" i="4"/>
  <c r="H89" i="4"/>
  <c r="L89" i="4"/>
  <c r="I89" i="4"/>
  <c r="G89" i="4"/>
  <c r="J89" i="4"/>
  <c r="F89" i="4"/>
  <c r="P156" i="3"/>
  <c r="O157" i="3"/>
  <c r="H137" i="3"/>
  <c r="J147" i="3"/>
  <c r="J127" i="3"/>
  <c r="J13" i="5" s="1"/>
  <c r="J14" i="5" s="1"/>
  <c r="J149" i="5" s="1"/>
  <c r="J155" i="5" s="1"/>
  <c r="J156" i="5" s="1"/>
  <c r="K111" i="3"/>
  <c r="S114" i="3" s="1"/>
  <c r="I135" i="3"/>
  <c r="I134" i="3"/>
  <c r="I19" i="5" s="1"/>
  <c r="J90" i="4" l="1"/>
  <c r="P90" i="4"/>
  <c r="F90" i="4"/>
  <c r="F97" i="4" s="1"/>
  <c r="F108" i="4" s="1"/>
  <c r="J100" i="4"/>
  <c r="N100" i="4"/>
  <c r="P100" i="4"/>
  <c r="H138" i="3"/>
  <c r="H7" i="6" s="1"/>
  <c r="H11" i="6" s="1"/>
  <c r="H20" i="5"/>
  <c r="O100" i="4"/>
  <c r="G100" i="4"/>
  <c r="G107" i="4" s="1"/>
  <c r="M90" i="4"/>
  <c r="L90" i="4"/>
  <c r="H90" i="4"/>
  <c r="G90" i="4"/>
  <c r="G97" i="4" s="1"/>
  <c r="I90" i="4"/>
  <c r="L100" i="4"/>
  <c r="H21" i="5"/>
  <c r="H133" i="5" s="1"/>
  <c r="H139" i="5" s="1"/>
  <c r="H140" i="5" s="1"/>
  <c r="K100" i="4"/>
  <c r="Q100" i="4"/>
  <c r="R100" i="4"/>
  <c r="M100" i="4"/>
  <c r="H100" i="4"/>
  <c r="I100" i="4"/>
  <c r="S100" i="4"/>
  <c r="M92" i="4"/>
  <c r="K92" i="4"/>
  <c r="N92" i="4"/>
  <c r="J92" i="4"/>
  <c r="H92" i="4"/>
  <c r="L92" i="4"/>
  <c r="I92" i="4"/>
  <c r="J19" i="6"/>
  <c r="J23" i="6" s="1"/>
  <c r="O90" i="4"/>
  <c r="Q90" i="4"/>
  <c r="S90" i="4"/>
  <c r="K90" i="4"/>
  <c r="N90" i="4"/>
  <c r="R90" i="4"/>
  <c r="J134" i="3"/>
  <c r="J19" i="5" s="1"/>
  <c r="J135" i="3"/>
  <c r="I137" i="3"/>
  <c r="Q156" i="3"/>
  <c r="P157" i="3"/>
  <c r="K135" i="3"/>
  <c r="K147" i="3"/>
  <c r="K127" i="3"/>
  <c r="K13" i="5" s="1"/>
  <c r="K14" i="5" s="1"/>
  <c r="K149" i="5" s="1"/>
  <c r="K155" i="5" s="1"/>
  <c r="K156" i="5" s="1"/>
  <c r="D159" i="5" s="1"/>
  <c r="J137" i="3"/>
  <c r="K134" i="3"/>
  <c r="G108" i="4" l="1"/>
  <c r="O93" i="4"/>
  <c r="N102" i="4"/>
  <c r="M102" i="4"/>
  <c r="L102" i="4"/>
  <c r="O102" i="4"/>
  <c r="J102" i="4"/>
  <c r="H102" i="4"/>
  <c r="H103" i="4" s="1"/>
  <c r="H107" i="4" s="1"/>
  <c r="P102" i="4"/>
  <c r="I102" i="4"/>
  <c r="K102" i="4"/>
  <c r="I138" i="3"/>
  <c r="I7" i="6" s="1"/>
  <c r="I11" i="6" s="1"/>
  <c r="I20" i="5"/>
  <c r="I21" i="5" s="1"/>
  <c r="I133" i="5" s="1"/>
  <c r="I139" i="5" s="1"/>
  <c r="I140" i="5" s="1"/>
  <c r="J21" i="5"/>
  <c r="J133" i="5" s="1"/>
  <c r="J139" i="5" s="1"/>
  <c r="J140" i="5" s="1"/>
  <c r="H93" i="4"/>
  <c r="H97" i="4" s="1"/>
  <c r="J138" i="3"/>
  <c r="J7" i="6" s="1"/>
  <c r="J11" i="6" s="1"/>
  <c r="J20" i="5"/>
  <c r="K93" i="4"/>
  <c r="S93" i="4"/>
  <c r="J93" i="4"/>
  <c r="J97" i="4" s="1"/>
  <c r="D160" i="5"/>
  <c r="M93" i="4"/>
  <c r="K19" i="6"/>
  <c r="K23" i="6" s="1"/>
  <c r="D27" i="6" s="1"/>
  <c r="P93" i="4"/>
  <c r="R93" i="4"/>
  <c r="Q93" i="4"/>
  <c r="I93" i="4"/>
  <c r="I97" i="4" s="1"/>
  <c r="K19" i="5"/>
  <c r="N93" i="4"/>
  <c r="D158" i="5"/>
  <c r="L93" i="4"/>
  <c r="R156" i="3"/>
  <c r="Q157" i="3"/>
  <c r="K137" i="3"/>
  <c r="S103" i="4" l="1"/>
  <c r="H108" i="4"/>
  <c r="R103" i="4"/>
  <c r="M103" i="4"/>
  <c r="P103" i="4"/>
  <c r="J103" i="4"/>
  <c r="J107" i="4" s="1"/>
  <c r="J108" i="4" s="1"/>
  <c r="L103" i="4"/>
  <c r="Q103" i="4"/>
  <c r="N103" i="4"/>
  <c r="O103" i="4"/>
  <c r="I103" i="4"/>
  <c r="I107" i="4" s="1"/>
  <c r="I108" i="4" s="1"/>
  <c r="K138" i="3"/>
  <c r="K7" i="6" s="1"/>
  <c r="K11" i="6" s="1"/>
  <c r="K20" i="5"/>
  <c r="K21" i="5" s="1"/>
  <c r="K133" i="5" s="1"/>
  <c r="K139" i="5" s="1"/>
  <c r="K140" i="5" s="1"/>
  <c r="K103" i="4"/>
  <c r="L95" i="4"/>
  <c r="P95" i="4"/>
  <c r="M95" i="4"/>
  <c r="O95" i="4"/>
  <c r="Q95" i="4"/>
  <c r="K95" i="4"/>
  <c r="N95" i="4"/>
  <c r="D26" i="6"/>
  <c r="S156" i="3"/>
  <c r="S157" i="3" s="1"/>
  <c r="R157" i="3"/>
  <c r="P96" i="4" l="1"/>
  <c r="P97" i="4" s="1"/>
  <c r="R96" i="4"/>
  <c r="R97" i="4" s="1"/>
  <c r="Q96" i="4"/>
  <c r="Q97" i="4" s="1"/>
  <c r="N105" i="4"/>
  <c r="M105" i="4"/>
  <c r="K105" i="4"/>
  <c r="O105" i="4"/>
  <c r="L105" i="4"/>
  <c r="M106" i="4" s="1"/>
  <c r="M107" i="4" s="1"/>
  <c r="Q105" i="4"/>
  <c r="S105" i="4"/>
  <c r="R105" i="4"/>
  <c r="P105" i="4"/>
  <c r="L96" i="4"/>
  <c r="L97" i="4" s="1"/>
  <c r="S96" i="4"/>
  <c r="S97" i="4" s="1"/>
  <c r="K96" i="4"/>
  <c r="K97" i="4" s="1"/>
  <c r="O96" i="4"/>
  <c r="O97" i="4" s="1"/>
  <c r="N96" i="4"/>
  <c r="N97" i="4" s="1"/>
  <c r="M96" i="4"/>
  <c r="M97" i="4" s="1"/>
  <c r="P106" i="4" l="1"/>
  <c r="P107" i="4" s="1"/>
  <c r="P108" i="4" s="1"/>
  <c r="L106" i="4"/>
  <c r="L107" i="4" s="1"/>
  <c r="L108" i="4" s="1"/>
  <c r="K106" i="4"/>
  <c r="K107" i="4" s="1"/>
  <c r="K108" i="4" s="1"/>
  <c r="R106" i="4"/>
  <c r="R107" i="4" s="1"/>
  <c r="R108" i="4" s="1"/>
  <c r="N106" i="4"/>
  <c r="N107" i="4" s="1"/>
  <c r="N108" i="4" s="1"/>
  <c r="O106" i="4"/>
  <c r="O107" i="4" s="1"/>
  <c r="O108" i="4" s="1"/>
  <c r="M108" i="4"/>
  <c r="S106" i="4"/>
  <c r="S107" i="4" s="1"/>
  <c r="S108" i="4" s="1"/>
  <c r="S9" i="6" s="1"/>
  <c r="S11" i="6" s="1"/>
  <c r="D15" i="6" s="1"/>
  <c r="Q106" i="4"/>
  <c r="Q107" i="4" s="1"/>
  <c r="Q108" i="4" s="1"/>
  <c r="S134" i="5" l="1"/>
  <c r="S138" i="5" s="1"/>
  <c r="D144" i="5" s="1"/>
  <c r="D14" i="6"/>
  <c r="S140" i="5" l="1"/>
  <c r="D143" i="5" s="1"/>
  <c r="D142" i="5" l="1"/>
</calcChain>
</file>

<file path=xl/sharedStrings.xml><?xml version="1.0" encoding="utf-8"?>
<sst xmlns="http://schemas.openxmlformats.org/spreadsheetml/2006/main" count="704" uniqueCount="250">
  <si>
    <t>ZAŁOŻENIA MAKROEKONOMICZNE</t>
  </si>
  <si>
    <t>Wyszczególnienie</t>
  </si>
  <si>
    <t>jedn.</t>
  </si>
  <si>
    <t>PKB</t>
  </si>
  <si>
    <t>%</t>
  </si>
  <si>
    <t>PKB - prognoza</t>
  </si>
  <si>
    <t>Liczba ludności - GUS</t>
  </si>
  <si>
    <t>Zmiana liczby ludności</t>
  </si>
  <si>
    <t>PKB per capita - prognoza</t>
  </si>
  <si>
    <t>PKB per capita w cenach stałych dla Polski</t>
  </si>
  <si>
    <t>Inflacja EUROSTAT dla Polski</t>
  </si>
  <si>
    <t>Inflacja Eurostat dla strefy euro y2y indeks</t>
  </si>
  <si>
    <t>Kurs EUR</t>
  </si>
  <si>
    <t>PLN</t>
  </si>
  <si>
    <t>Koszty jednostkowe czasu (VoT)</t>
  </si>
  <si>
    <t>Elastyczność X</t>
  </si>
  <si>
    <t>Indeksacja = X * (PKB per cap PL) * inflacja PL</t>
  </si>
  <si>
    <t>Pozostałe koszty jednostkowe</t>
  </si>
  <si>
    <t>Elastyczność Y</t>
  </si>
  <si>
    <t>Indeksacja = Y * (PKB per cap PL) * inflacja PL</t>
  </si>
  <si>
    <t>CO2</t>
  </si>
  <si>
    <t>przed 2014</t>
  </si>
  <si>
    <t>Indeksacja = inflacja EUR</t>
  </si>
  <si>
    <t>NAKŁADY INWESTYCYJNE</t>
  </si>
  <si>
    <t>Rodzaj taboru</t>
  </si>
  <si>
    <t>Jedn.</t>
  </si>
  <si>
    <t>Cena netto</t>
  </si>
  <si>
    <t>Nakłady inwestycyjne - tabor</t>
  </si>
  <si>
    <t>Nakłady inwestycyjne - infrastruktura</t>
  </si>
  <si>
    <t>Amortyzacja i nakłady odtworzeniowe</t>
  </si>
  <si>
    <t>Amortyzacja</t>
  </si>
  <si>
    <t>Stawka</t>
  </si>
  <si>
    <t>Infrastruktura:</t>
  </si>
  <si>
    <t>Tabor EE</t>
  </si>
  <si>
    <t>Tabor H2</t>
  </si>
  <si>
    <t>Tabor:</t>
  </si>
  <si>
    <t>Okres amortyzacji</t>
  </si>
  <si>
    <t>lat</t>
  </si>
  <si>
    <t>Nakłady odtowrzeniowe</t>
  </si>
  <si>
    <t>moment ponoszenia nakł. odtw.</t>
  </si>
  <si>
    <t>Uwagi</t>
  </si>
  <si>
    <t>zaplanowano ponoszenie nakładów odtw. najwcześniej po 15 latach eksploatacji</t>
  </si>
  <si>
    <t>nie dotyczy</t>
  </si>
  <si>
    <t>Harmonogram ponoszenia nakładów inwestycyjnych</t>
  </si>
  <si>
    <t>Udział pojazdów zeroemisyjnych wg Ustawy</t>
  </si>
  <si>
    <t>Liczba taboru wykorzystywanego w ramach PTZ</t>
  </si>
  <si>
    <t>szt.</t>
  </si>
  <si>
    <t>Tabor ON</t>
  </si>
  <si>
    <t>Wariant bazowy - W0</t>
  </si>
  <si>
    <t>Udział %</t>
  </si>
  <si>
    <t>Zapotrzeobwanie na tabor zeroemisyjny w celu spełnienia wymogów Ustawy</t>
  </si>
  <si>
    <t xml:space="preserve">źródło: dane MZK w Nysie </t>
  </si>
  <si>
    <t>Flota MZK w Nysie wykorzystoywana do realizacji zadań w ramach PTZ - autobusy zeroemisyjne</t>
  </si>
  <si>
    <t>Zapotrzebowanie MZK w Nysie w celu spełnienia wymogi Ustawy</t>
  </si>
  <si>
    <t>Tabor nakłady</t>
  </si>
  <si>
    <t>tys. zł</t>
  </si>
  <si>
    <t>Autobus EE</t>
  </si>
  <si>
    <t>Autobus H2</t>
  </si>
  <si>
    <t>Autobus ON</t>
  </si>
  <si>
    <t>Ładowarka dwustanowiskowa typu pug-in</t>
  </si>
  <si>
    <t>Stacja ładowania pantografowego 400 kW</t>
  </si>
  <si>
    <t>Stacja tankowania wodoru</t>
  </si>
  <si>
    <t>dane wg. zapytań cenowych i rozeznania rynku</t>
  </si>
  <si>
    <t>tys. zł/szt.</t>
  </si>
  <si>
    <t>Infrastruktura nakłady</t>
  </si>
  <si>
    <t>RAZEM</t>
  </si>
  <si>
    <t>stawka podatku VAT</t>
  </si>
  <si>
    <t>Praca przewozowa</t>
  </si>
  <si>
    <t>źródło: tablice kosztów jednostkowych do wykorzystania w analizach kosztów i korzyści - aktualizacja 23.09.2021; CUPT</t>
  </si>
  <si>
    <t>Wariant 1 - tabor elektryczny (mieszany)</t>
  </si>
  <si>
    <t>Wariant 2 - tabor wodorowy</t>
  </si>
  <si>
    <t>Rodzaj autobusu</t>
  </si>
  <si>
    <t>Autobus EE - bateria</t>
  </si>
  <si>
    <t>żywtoność baterii ustalono na poziomie 8 lat; zaplanowano wymianę baterii w zakupionych autobusach EE w 9 roku ich eksploatacji</t>
  </si>
  <si>
    <t>Wymiana baterii</t>
  </si>
  <si>
    <t>Praca przewozowa wykonywana autobusami zeroemisyjnymi</t>
  </si>
  <si>
    <t xml:space="preserve">Całkowita praca przewozowa </t>
  </si>
  <si>
    <t>wzkm</t>
  </si>
  <si>
    <t>Udział autobusów zeroemisyjnych</t>
  </si>
  <si>
    <t>Praca przewozowa wykonywana taborem zeroemisyjnym</t>
  </si>
  <si>
    <t>Jednostkowe koszty eksplotacjia</t>
  </si>
  <si>
    <t>Na podstawie danych Operatora w zakresie taboru ON oraz EE oraz w zakresie taboru H2 na podstawie doświadczeń przewoźników krajowych i zagranicznych</t>
  </si>
  <si>
    <t>MAXI (12M)</t>
  </si>
  <si>
    <t>Cena paliwa i energii netto</t>
  </si>
  <si>
    <t>ON</t>
  </si>
  <si>
    <t>energia elektryczna</t>
  </si>
  <si>
    <t>wodór</t>
  </si>
  <si>
    <t>zł/kWh</t>
  </si>
  <si>
    <t>zł/kg</t>
  </si>
  <si>
    <t>euro/kg</t>
  </si>
  <si>
    <t>Źródło: dane dostawców zagranicznych</t>
  </si>
  <si>
    <t>zł/dm3</t>
  </si>
  <si>
    <t>Źródło: dane MZK w Nysie Sp. z o.o.</t>
  </si>
  <si>
    <t>Zużycie materiałów i energii</t>
  </si>
  <si>
    <t>spalanie/zużycie energii</t>
  </si>
  <si>
    <t>cena jednostkowa paliwa/energii</t>
  </si>
  <si>
    <t>pozostałe koszty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</si>
  <si>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</si>
  <si>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</si>
  <si>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</si>
  <si>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</si>
  <si>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</si>
  <si>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Razem koszt eksploatacji taboru:</t>
  </si>
  <si>
    <t>ON MAXI</t>
  </si>
  <si>
    <t>EE MAXI</t>
  </si>
  <si>
    <t>H2 MAXI</t>
  </si>
  <si>
    <t>PLN/wzkm</t>
  </si>
  <si>
    <t>l/wzkm</t>
  </si>
  <si>
    <t>kWh/wzkm</t>
  </si>
  <si>
    <t>kg/wzkm</t>
  </si>
  <si>
    <t>zł/l</t>
  </si>
  <si>
    <t>Założenia do analizy finansowej i ekonomicznej</t>
  </si>
  <si>
    <t>Wartość</t>
  </si>
  <si>
    <t>Stopa dyskonotowa - a. finansowa</t>
  </si>
  <si>
    <t>Stopa dyskontowa - a. ekonomiczna</t>
  </si>
  <si>
    <t>Niebieska Księga Sektor transportu publicznego, 2015r.</t>
  </si>
  <si>
    <t xml:space="preserve"> Wytyczne  w zakresie zagadnień związanych z przygotowaniem projektów inwestycyjnych, w tym projektów generujących dochód i projektów hybrydowych na lata 2014-2020</t>
  </si>
  <si>
    <t>Wartość opałowa</t>
  </si>
  <si>
    <t>MJ/kg</t>
  </si>
  <si>
    <t>Wskaźnik emisji ON</t>
  </si>
  <si>
    <t>kg/GJ</t>
  </si>
  <si>
    <t>opracowanie KOBIZE</t>
  </si>
  <si>
    <t>kg/kg ON</t>
  </si>
  <si>
    <t>Gęstość ON</t>
  </si>
  <si>
    <t>kg/l</t>
  </si>
  <si>
    <t xml:space="preserve"> kg/l ON</t>
  </si>
  <si>
    <t>Wskaźnik Emisji EE</t>
  </si>
  <si>
    <t>Mg/MWh</t>
  </si>
  <si>
    <t>MWh</t>
  </si>
  <si>
    <t>kWh</t>
  </si>
  <si>
    <t>Mg/kWh</t>
  </si>
  <si>
    <t>Wartość emisji zanieczyszczeń</t>
  </si>
  <si>
    <t>Emisja zanieczyszczeń</t>
  </si>
  <si>
    <t>wyliczenia z kalkulatora emisji</t>
  </si>
  <si>
    <t>NMHC</t>
  </si>
  <si>
    <t>NOx</t>
  </si>
  <si>
    <t>SO2</t>
  </si>
  <si>
    <t>PM 2,5</t>
  </si>
  <si>
    <t>[g/wzkm]</t>
  </si>
  <si>
    <t>ON EURO 6 - 12 m</t>
  </si>
  <si>
    <t>EE - 12 m</t>
  </si>
  <si>
    <t>Koszty jednostkowe</t>
  </si>
  <si>
    <t>Wartość emisji CO2</t>
  </si>
  <si>
    <t>Źródło: koszty jednostkowe CUPT, data publikacji: wrzesień 2021 r., ceny na koniec 2020 r., prognozy makroekonomiczne z 08.2021 r.</t>
  </si>
  <si>
    <t>Koszty zmian klimatu</t>
  </si>
  <si>
    <t>Wartość emisji gazów cieplarnianych wg Europejskiego Banku Inwestycyjnego (PLN/t CO2), wartości zindeksowane</t>
  </si>
  <si>
    <t xml:space="preserve">Koszt emisji CO2 </t>
  </si>
  <si>
    <t>zł/t CO2</t>
  </si>
  <si>
    <t>Koszty hałasu</t>
  </si>
  <si>
    <t>Wartości dla autobusów poruszających się w obszarze miejskim w porze dnia (85%) i nocy (15%), koszt z uwzględnieniem indeksacji</t>
  </si>
  <si>
    <t>Jednostkowy koszt hałasu dla autobusu</t>
  </si>
  <si>
    <t>zł/poj-km</t>
  </si>
  <si>
    <t>Koszty emisji zanieczyszczeń</t>
  </si>
  <si>
    <t>zł/t</t>
  </si>
  <si>
    <t>NMVOC</t>
  </si>
  <si>
    <t>PM2.5  obszar miejski</t>
  </si>
  <si>
    <t>Korekta fiskalna</t>
  </si>
  <si>
    <t xml:space="preserve"> tabor</t>
  </si>
  <si>
    <t>infrastruktura</t>
  </si>
  <si>
    <t>eksploatacja</t>
  </si>
  <si>
    <t>Wariant bazowy</t>
  </si>
  <si>
    <t>Wariant W1</t>
  </si>
  <si>
    <t>Wariant W2</t>
  </si>
  <si>
    <t>Koszty eksploatacji</t>
  </si>
  <si>
    <t>Praca przewozowa uwzględniona w analizie</t>
  </si>
  <si>
    <t xml:space="preserve">Koszty eksploatacji taboru </t>
  </si>
  <si>
    <t>tys. PLN/rok</t>
  </si>
  <si>
    <t>Koszty/korzyści ekonomiczne</t>
  </si>
  <si>
    <t>Emisja CO2</t>
  </si>
  <si>
    <t>tys. kg CO2</t>
  </si>
  <si>
    <t>Oszczędność emisji CO2</t>
  </si>
  <si>
    <t>Emisja pozostałych zanieczyszczeń</t>
  </si>
  <si>
    <t>Emisja NMHC</t>
  </si>
  <si>
    <t>Oszczędność emisji</t>
  </si>
  <si>
    <t>Emisja SO2</t>
  </si>
  <si>
    <t>Emisja PM 2,5</t>
  </si>
  <si>
    <t>Emisja NOx</t>
  </si>
  <si>
    <t>tys. kg NMHC</t>
  </si>
  <si>
    <t>tys. kg NOx</t>
  </si>
  <si>
    <t>tys. kg SO2</t>
  </si>
  <si>
    <t>tys. kg PM 2,5</t>
  </si>
  <si>
    <t>Wartość netto</t>
  </si>
  <si>
    <t>Infrastruktura - nakłady iwnestycyjne</t>
  </si>
  <si>
    <t>tys. PLN</t>
  </si>
  <si>
    <t>Wartość netto - łącznie</t>
  </si>
  <si>
    <t>Tabor - nakłady inwestycyjne 2023</t>
  </si>
  <si>
    <t>Tabor - nakłady inwestycyjne 2025</t>
  </si>
  <si>
    <t>Tabor - nakłady inwestycyjne 2028</t>
  </si>
  <si>
    <t>Wartośc netto - łącznie tabor</t>
  </si>
  <si>
    <t>Wartośc netto - łącznie infrastruktura</t>
  </si>
  <si>
    <t>Korekta o efekty fiskalne</t>
  </si>
  <si>
    <t>tabor</t>
  </si>
  <si>
    <t>Nakłady inwestycyjne</t>
  </si>
  <si>
    <t>Tabor</t>
  </si>
  <si>
    <t>Infrastruktura</t>
  </si>
  <si>
    <t>Razem</t>
  </si>
  <si>
    <t>Analiza ekonomiczna</t>
  </si>
  <si>
    <t>Korzyści i koszty zewnętrzne</t>
  </si>
  <si>
    <t>Oszczędność kosztów zanieczyszczenia powietrza</t>
  </si>
  <si>
    <t>uniknięta emisja  NMVOC</t>
  </si>
  <si>
    <t xml:space="preserve">tys. kg </t>
  </si>
  <si>
    <t>koszt jednostkowy NMVOC</t>
  </si>
  <si>
    <t>zł/ tys. kg</t>
  </si>
  <si>
    <t>uniknięta emisja  NOx</t>
  </si>
  <si>
    <t>koszt jednostkowy NOx</t>
  </si>
  <si>
    <t>uniknięta emisja  SO2</t>
  </si>
  <si>
    <t>koszt jednostkowy SO2</t>
  </si>
  <si>
    <t>uniknięta emisja  PM 2,5</t>
  </si>
  <si>
    <t>koszt jednostkowy PM 2,5</t>
  </si>
  <si>
    <t>Oszczędność kosztów środowiskowych W1</t>
  </si>
  <si>
    <t xml:space="preserve">Koszty zmian klimatycznych </t>
  </si>
  <si>
    <t>Oszczędność emisji CO2 autobusy</t>
  </si>
  <si>
    <t xml:space="preserve">t CO2 </t>
  </si>
  <si>
    <t>Oszczędność kosztów zmian klimatycznych W1</t>
  </si>
  <si>
    <t>Jednostkowy koszt hałasu</t>
  </si>
  <si>
    <t>Oszczędność kosztów hałasu W1</t>
  </si>
  <si>
    <t>poj-km</t>
  </si>
  <si>
    <t>Oszczędność kosztów zmian klimatycznych W2</t>
  </si>
  <si>
    <t>Oszczędność kosztów środowiskowych W2</t>
  </si>
  <si>
    <t>Oszczędność kosztów hałasu W2</t>
  </si>
  <si>
    <t>PODSUMOWANIE</t>
  </si>
  <si>
    <t>Korzyści/koszty społeczne netto W1</t>
  </si>
  <si>
    <t>stopa dyskontowa</t>
  </si>
  <si>
    <t>współczynnik dyskonta</t>
  </si>
  <si>
    <t>Zdyskontowane</t>
  </si>
  <si>
    <t>Korzyści/koszty społeczne netto W2</t>
  </si>
  <si>
    <t>Skorygowane nakłady inwestycyjne</t>
  </si>
  <si>
    <t>Skorygowana wartość rezydualna</t>
  </si>
  <si>
    <t>Różnicowe ekonomiczne koszty operacyjne</t>
  </si>
  <si>
    <t>Skorygowane koszty operacyjne</t>
  </si>
  <si>
    <t xml:space="preserve">Korzyści ekonomiczne </t>
  </si>
  <si>
    <t xml:space="preserve">Łączne korzyści projektu </t>
  </si>
  <si>
    <t xml:space="preserve">Łączne koszty projektu </t>
  </si>
  <si>
    <t>Przepływy ekonomiczne</t>
  </si>
  <si>
    <t>ENPV</t>
  </si>
  <si>
    <t>ERR</t>
  </si>
  <si>
    <t>B/C</t>
  </si>
  <si>
    <t>Analiza finansowa</t>
  </si>
  <si>
    <t>Przychody</t>
  </si>
  <si>
    <t>Wartość rezydualna</t>
  </si>
  <si>
    <t xml:space="preserve">Koszty operacyjne </t>
  </si>
  <si>
    <t xml:space="preserve">Nakłady </t>
  </si>
  <si>
    <t>Przepływy finansowe proste</t>
  </si>
  <si>
    <t>FNPV</t>
  </si>
  <si>
    <t>FIRR</t>
  </si>
  <si>
    <t>Liczba baterii do wymiany</t>
  </si>
  <si>
    <t>Koszt wymiany baterii</t>
  </si>
  <si>
    <t>szt</t>
  </si>
  <si>
    <t>bd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</si>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</sst>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"/>
    <numFmt numFmtId="166" formatCode="0.000"/>
    <numFmt numFmtId="167" formatCode="0.0%"/>
    <numFmt numFmtId="168" formatCode="0.0000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2" fillId="0" borderId="0"/>
    <xf numFmtId="0" fontId="13" fillId="9" borderId="0" applyNumberFormat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0" fontId="5" fillId="2" borderId="1" xfId="0" applyNumberFormat="1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left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/>
    <xf numFmtId="3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9" fontId="2" fillId="2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2" fillId="2" borderId="0" xfId="2" applyFont="1" applyFill="1"/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" fontId="7" fillId="5" borderId="0" xfId="0" applyNumberFormat="1" applyFont="1" applyFill="1" applyAlignment="1">
      <alignment horizontal="center" vertical="center"/>
    </xf>
    <xf numFmtId="9" fontId="2" fillId="2" borderId="0" xfId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4" fontId="7" fillId="6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7" fontId="2" fillId="2" borderId="0" xfId="1" applyNumberFormat="1" applyFont="1" applyFill="1" applyAlignment="1">
      <alignment vertical="center"/>
    </xf>
    <xf numFmtId="3" fontId="7" fillId="6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/>
    <xf numFmtId="0" fontId="7" fillId="2" borderId="0" xfId="0" applyFont="1" applyFill="1"/>
    <xf numFmtId="0" fontId="7" fillId="5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/>
    <xf numFmtId="4" fontId="7" fillId="4" borderId="0" xfId="0" applyNumberFormat="1" applyFont="1" applyFill="1"/>
    <xf numFmtId="0" fontId="2" fillId="5" borderId="0" xfId="0" applyFont="1" applyFill="1"/>
    <xf numFmtId="168" fontId="2" fillId="2" borderId="0" xfId="0" applyNumberFormat="1" applyFont="1" applyFill="1"/>
    <xf numFmtId="166" fontId="2" fillId="2" borderId="0" xfId="0" applyNumberFormat="1" applyFont="1" applyFill="1"/>
    <xf numFmtId="2" fontId="2" fillId="2" borderId="0" xfId="0" applyNumberFormat="1" applyFont="1" applyFill="1"/>
    <xf numFmtId="166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right" vertical="center"/>
    </xf>
    <xf numFmtId="0" fontId="2" fillId="6" borderId="0" xfId="0" applyFont="1" applyFill="1"/>
    <xf numFmtId="0" fontId="7" fillId="6" borderId="0" xfId="0" applyFont="1" applyFill="1"/>
    <xf numFmtId="0" fontId="2" fillId="4" borderId="0" xfId="0" applyFont="1" applyFill="1"/>
    <xf numFmtId="4" fontId="7" fillId="2" borderId="0" xfId="0" applyNumberFormat="1" applyFont="1" applyFill="1"/>
    <xf numFmtId="0" fontId="14" fillId="3" borderId="0" xfId="0" applyFont="1" applyFill="1" applyAlignment="1">
      <alignment horizontal="left" vertical="center"/>
    </xf>
    <xf numFmtId="0" fontId="15" fillId="3" borderId="0" xfId="0" applyFont="1" applyFill="1"/>
    <xf numFmtId="0" fontId="16" fillId="3" borderId="0" xfId="0" applyFont="1" applyFill="1"/>
    <xf numFmtId="0" fontId="7" fillId="6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4" fontId="7" fillId="6" borderId="0" xfId="0" applyNumberFormat="1" applyFont="1" applyFill="1"/>
    <xf numFmtId="2" fontId="7" fillId="6" borderId="0" xfId="0" applyNumberFormat="1" applyFont="1" applyFill="1"/>
    <xf numFmtId="4" fontId="7" fillId="6" borderId="0" xfId="0" applyNumberFormat="1" applyFont="1" applyFill="1" applyAlignment="1">
      <alignment horizontal="center" vertical="center"/>
    </xf>
    <xf numFmtId="167" fontId="2" fillId="2" borderId="0" xfId="1" applyNumberFormat="1" applyFont="1" applyFill="1"/>
    <xf numFmtId="4" fontId="2" fillId="6" borderId="0" xfId="0" applyNumberFormat="1" applyFont="1" applyFill="1"/>
    <xf numFmtId="2" fontId="14" fillId="6" borderId="0" xfId="0" applyNumberFormat="1" applyFont="1" applyFill="1" applyBorder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 vertical="center"/>
    </xf>
    <xf numFmtId="4" fontId="7" fillId="6" borderId="0" xfId="0" applyNumberFormat="1" applyFont="1" applyFill="1" applyBorder="1"/>
    <xf numFmtId="167" fontId="7" fillId="6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167" fontId="2" fillId="4" borderId="0" xfId="1" applyNumberFormat="1" applyFont="1" applyFill="1"/>
    <xf numFmtId="167" fontId="2" fillId="6" borderId="0" xfId="1" applyNumberFormat="1" applyFont="1" applyFill="1"/>
    <xf numFmtId="9" fontId="2" fillId="6" borderId="0" xfId="0" applyNumberFormat="1" applyFont="1" applyFill="1"/>
    <xf numFmtId="0" fontId="7" fillId="2" borderId="10" xfId="0" applyFont="1" applyFill="1" applyBorder="1" applyAlignment="1">
      <alignment horizontal="center" vertical="center"/>
    </xf>
    <xf numFmtId="14" fontId="2" fillId="2" borderId="0" xfId="0" applyNumberFormat="1" applyFont="1" applyFill="1"/>
    <xf numFmtId="1" fontId="2" fillId="2" borderId="0" xfId="0" applyNumberFormat="1" applyFont="1" applyFill="1"/>
    <xf numFmtId="0" fontId="2" fillId="6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indent="2"/>
    </xf>
    <xf numFmtId="0" fontId="7" fillId="10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7" fillId="10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5">
    <cellStyle name="Normalny" xfId="0" builtinId="0"/>
    <cellStyle name="Normalny 3" xfId="3" xr:uid="{8B93E19C-D988-4F88-B8A4-51D6B89F23E2}"/>
    <cellStyle name="Normalny 5" xfId="2" xr:uid="{C7B03D04-29A8-4E86-B23C-29E0388D49D2}"/>
    <cellStyle name="Procentowy" xfId="1" builtinId="5"/>
    <cellStyle name="Złe 2" xfId="4" xr:uid="{9C2A5C80-1960-4AF8-B2DE-43BA626AA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E9C74-6412-4410-BFA6-D416F40D56E7}">
  <dimension ref="B2:AJ241"/>
  <sheetViews>
    <sheetView topLeftCell="A202" zoomScale="110" zoomScaleNormal="110" workbookViewId="0">
      <selection activeCell="H211" sqref="H211"/>
    </sheetView>
  </sheetViews>
  <sheetFormatPr defaultRowHeight="12.75"/>
  <cols>
    <col min="1" max="1" width="11.5703125" style="4" customWidth="1"/>
    <col min="2" max="2" width="36.85546875" style="4" customWidth="1"/>
    <col min="3" max="16384" width="9.140625" style="4"/>
  </cols>
  <sheetData>
    <row r="2" spans="2:10" s="3" customFormat="1" ht="18.75">
      <c r="B2" s="3" t="s">
        <v>0</v>
      </c>
    </row>
    <row r="3" spans="2:10" s="1" customFormat="1">
      <c r="B3" s="1" t="s">
        <v>68</v>
      </c>
    </row>
    <row r="4" spans="2:10" s="5" customFormat="1">
      <c r="B4" s="6"/>
    </row>
    <row r="5" spans="2:10" s="5" customFormat="1">
      <c r="B5" s="6"/>
    </row>
    <row r="6" spans="2:10" s="5" customFormat="1">
      <c r="B6" s="7" t="s">
        <v>1</v>
      </c>
      <c r="C6" s="8" t="s">
        <v>2</v>
      </c>
      <c r="D6" s="8">
        <v>2014</v>
      </c>
      <c r="E6" s="8">
        <v>2015</v>
      </c>
      <c r="F6" s="8">
        <f>E6+1</f>
        <v>2016</v>
      </c>
      <c r="G6" s="8">
        <f t="shared" ref="G6:J6" si="0">F6+1</f>
        <v>2017</v>
      </c>
      <c r="H6" s="8">
        <f t="shared" si="0"/>
        <v>2018</v>
      </c>
      <c r="I6" s="8">
        <f t="shared" si="0"/>
        <v>2019</v>
      </c>
      <c r="J6" s="8">
        <f t="shared" si="0"/>
        <v>2020</v>
      </c>
    </row>
    <row r="7" spans="2:10" s="5" customFormat="1">
      <c r="B7" s="9" t="s">
        <v>3</v>
      </c>
      <c r="C7" s="8" t="s">
        <v>4</v>
      </c>
      <c r="D7" s="10"/>
      <c r="E7" s="11"/>
      <c r="F7" s="11">
        <f>F8/100-100%</f>
        <v>3.0999999999999917E-2</v>
      </c>
      <c r="G7" s="11">
        <f t="shared" ref="G7:J7" si="1">G8/100-100%</f>
        <v>4.8000000000000043E-2</v>
      </c>
      <c r="H7" s="11">
        <f t="shared" si="1"/>
        <v>5.4000000000000048E-2</v>
      </c>
      <c r="I7" s="11">
        <f t="shared" si="1"/>
        <v>4.6999999999999931E-2</v>
      </c>
      <c r="J7" s="11">
        <f t="shared" si="1"/>
        <v>-2.7000000000000024E-2</v>
      </c>
    </row>
    <row r="8" spans="2:10" s="5" customFormat="1">
      <c r="B8" s="12" t="s">
        <v>5</v>
      </c>
      <c r="C8" s="13"/>
      <c r="D8" s="14"/>
      <c r="E8" s="15"/>
      <c r="F8" s="16">
        <v>103.1</v>
      </c>
      <c r="G8" s="16">
        <v>104.8</v>
      </c>
      <c r="H8" s="16">
        <v>105.4</v>
      </c>
      <c r="I8" s="16">
        <v>104.7</v>
      </c>
      <c r="J8" s="16">
        <v>97.3</v>
      </c>
    </row>
    <row r="9" spans="2:10" s="5" customFormat="1">
      <c r="B9" s="12" t="s">
        <v>6</v>
      </c>
      <c r="C9" s="12"/>
      <c r="D9" s="12"/>
      <c r="E9" s="17">
        <v>38419006</v>
      </c>
      <c r="F9" s="17">
        <v>38369390</v>
      </c>
      <c r="G9" s="17">
        <v>38315463</v>
      </c>
      <c r="H9" s="17">
        <v>38259532</v>
      </c>
      <c r="I9" s="17">
        <v>38200552</v>
      </c>
      <c r="J9" s="17">
        <v>38137804</v>
      </c>
    </row>
    <row r="10" spans="2:10" s="5" customFormat="1">
      <c r="B10" s="9" t="s">
        <v>7</v>
      </c>
      <c r="C10" s="9"/>
      <c r="D10" s="9"/>
      <c r="E10" s="19"/>
      <c r="F10" s="20">
        <f>F9/E9</f>
        <v>0.99870855586425111</v>
      </c>
      <c r="G10" s="20">
        <f>G9/F9</f>
        <v>0.99859453069230442</v>
      </c>
      <c r="H10" s="20">
        <f>H9/G9</f>
        <v>0.99854024992468449</v>
      </c>
      <c r="I10" s="20">
        <f t="shared" ref="I10:J10" si="2">I9/H9</f>
        <v>0.99845842338061008</v>
      </c>
      <c r="J10" s="20">
        <f t="shared" si="2"/>
        <v>0.9983574059348671</v>
      </c>
    </row>
    <row r="11" spans="2:10" s="5" customFormat="1">
      <c r="B11" s="9" t="s">
        <v>8</v>
      </c>
      <c r="C11" s="7"/>
      <c r="D11" s="9"/>
      <c r="E11" s="9"/>
      <c r="F11" s="21">
        <f>F12/100</f>
        <v>1.0309999999999999</v>
      </c>
      <c r="G11" s="21">
        <f t="shared" ref="G11:H11" si="3">G12/100</f>
        <v>1.048</v>
      </c>
      <c r="H11" s="21">
        <f t="shared" si="3"/>
        <v>1.054</v>
      </c>
      <c r="I11" s="21">
        <f>I12/100</f>
        <v>1.0469999999999999</v>
      </c>
      <c r="J11" s="21">
        <f t="shared" ref="J11" si="4">J8/100/J10</f>
        <v>0.97460087361086656</v>
      </c>
    </row>
    <row r="12" spans="2:10" s="5" customFormat="1">
      <c r="B12" s="12" t="s">
        <v>9</v>
      </c>
      <c r="C12" s="22"/>
      <c r="D12" s="23"/>
      <c r="E12" s="23"/>
      <c r="F12" s="23">
        <v>103.1</v>
      </c>
      <c r="G12" s="23">
        <v>104.8</v>
      </c>
      <c r="H12" s="24">
        <v>105.4</v>
      </c>
      <c r="I12" s="24">
        <v>104.7</v>
      </c>
      <c r="J12" s="85">
        <v>97.3</v>
      </c>
    </row>
    <row r="13" spans="2:10" s="5" customFormat="1">
      <c r="B13" s="12" t="s">
        <v>10</v>
      </c>
      <c r="C13" s="12"/>
      <c r="D13" s="23">
        <v>100.1</v>
      </c>
      <c r="E13" s="23">
        <v>99.3</v>
      </c>
      <c r="F13" s="22">
        <v>99.8</v>
      </c>
      <c r="G13" s="22">
        <v>101.6</v>
      </c>
      <c r="H13" s="22">
        <v>101.2</v>
      </c>
      <c r="I13" s="22">
        <v>102.1</v>
      </c>
      <c r="J13" s="86">
        <v>103.7</v>
      </c>
    </row>
    <row r="14" spans="2:10" s="5" customFormat="1">
      <c r="B14" s="26" t="s">
        <v>11</v>
      </c>
      <c r="C14" s="27"/>
      <c r="D14" s="22">
        <v>1.004</v>
      </c>
      <c r="E14" s="22">
        <v>1.002</v>
      </c>
      <c r="F14" s="22">
        <v>1.002</v>
      </c>
      <c r="G14" s="22">
        <v>1.0149999999999999</v>
      </c>
      <c r="H14" s="22">
        <v>1.018</v>
      </c>
      <c r="I14" s="22">
        <v>1.012</v>
      </c>
      <c r="J14" s="87">
        <v>1</v>
      </c>
    </row>
    <row r="15" spans="2:10" s="5" customFormat="1">
      <c r="B15" s="9" t="s">
        <v>12</v>
      </c>
      <c r="C15" s="9" t="s">
        <v>13</v>
      </c>
      <c r="D15" s="22">
        <v>4.1843000000000004</v>
      </c>
      <c r="E15" s="22">
        <v>4.1840999999999999</v>
      </c>
      <c r="F15" s="22">
        <v>4.3632</v>
      </c>
      <c r="G15" s="22">
        <v>4.2569999999999997</v>
      </c>
      <c r="H15" s="22">
        <v>4.2614999999999998</v>
      </c>
      <c r="I15" s="22">
        <v>4.2976000000000001</v>
      </c>
      <c r="J15" s="22">
        <v>4.4429999999999996</v>
      </c>
    </row>
    <row r="16" spans="2:10" s="5" customFormat="1">
      <c r="B16" s="6"/>
    </row>
    <row r="17" spans="2:36" s="5" customFormat="1">
      <c r="B17" s="7" t="s">
        <v>1</v>
      </c>
      <c r="C17" s="8" t="s">
        <v>2</v>
      </c>
      <c r="D17" s="8">
        <f>J6+1</f>
        <v>2021</v>
      </c>
      <c r="E17" s="8">
        <f t="shared" ref="E17:AJ17" si="5">D17+1</f>
        <v>2022</v>
      </c>
      <c r="F17" s="8">
        <f t="shared" si="5"/>
        <v>2023</v>
      </c>
      <c r="G17" s="8">
        <f t="shared" si="5"/>
        <v>2024</v>
      </c>
      <c r="H17" s="8">
        <f t="shared" si="5"/>
        <v>2025</v>
      </c>
      <c r="I17" s="8">
        <f t="shared" si="5"/>
        <v>2026</v>
      </c>
      <c r="J17" s="8">
        <f t="shared" si="5"/>
        <v>2027</v>
      </c>
      <c r="K17" s="8">
        <f t="shared" si="5"/>
        <v>2028</v>
      </c>
      <c r="L17" s="8">
        <f t="shared" si="5"/>
        <v>2029</v>
      </c>
      <c r="M17" s="8">
        <f t="shared" si="5"/>
        <v>2030</v>
      </c>
      <c r="N17" s="8">
        <f t="shared" si="5"/>
        <v>2031</v>
      </c>
      <c r="O17" s="8">
        <f t="shared" si="5"/>
        <v>2032</v>
      </c>
      <c r="P17" s="8">
        <f t="shared" si="5"/>
        <v>2033</v>
      </c>
      <c r="Q17" s="8">
        <f t="shared" si="5"/>
        <v>2034</v>
      </c>
      <c r="R17" s="8">
        <f t="shared" si="5"/>
        <v>2035</v>
      </c>
      <c r="S17" s="8">
        <f t="shared" si="5"/>
        <v>2036</v>
      </c>
      <c r="T17" s="8">
        <f t="shared" si="5"/>
        <v>2037</v>
      </c>
      <c r="U17" s="8">
        <f t="shared" si="5"/>
        <v>2038</v>
      </c>
      <c r="V17" s="8">
        <f t="shared" si="5"/>
        <v>2039</v>
      </c>
      <c r="W17" s="8">
        <f t="shared" si="5"/>
        <v>2040</v>
      </c>
      <c r="X17" s="8">
        <f t="shared" si="5"/>
        <v>2041</v>
      </c>
      <c r="Y17" s="8">
        <f t="shared" si="5"/>
        <v>2042</v>
      </c>
      <c r="Z17" s="8">
        <f t="shared" si="5"/>
        <v>2043</v>
      </c>
      <c r="AA17" s="8">
        <f t="shared" si="5"/>
        <v>2044</v>
      </c>
      <c r="AB17" s="8">
        <f t="shared" si="5"/>
        <v>2045</v>
      </c>
      <c r="AC17" s="8">
        <f t="shared" si="5"/>
        <v>2046</v>
      </c>
      <c r="AD17" s="8">
        <f t="shared" si="5"/>
        <v>2047</v>
      </c>
      <c r="AE17" s="8">
        <f t="shared" si="5"/>
        <v>2048</v>
      </c>
      <c r="AF17" s="8">
        <f t="shared" si="5"/>
        <v>2049</v>
      </c>
      <c r="AG17" s="8">
        <f t="shared" si="5"/>
        <v>2050</v>
      </c>
      <c r="AH17" s="8">
        <f t="shared" si="5"/>
        <v>2051</v>
      </c>
      <c r="AI17" s="8">
        <f t="shared" si="5"/>
        <v>2052</v>
      </c>
      <c r="AJ17" s="8">
        <f t="shared" si="5"/>
        <v>2053</v>
      </c>
    </row>
    <row r="18" spans="2:36" s="5" customFormat="1">
      <c r="B18" s="9" t="s">
        <v>3</v>
      </c>
      <c r="C18" s="8" t="s">
        <v>4</v>
      </c>
      <c r="D18" s="11">
        <f>D19/100-100%</f>
        <v>4.9000000000000155E-2</v>
      </c>
      <c r="E18" s="11">
        <f t="shared" ref="E18:AJ18" si="6">E19/100-100%</f>
        <v>4.6000000000000041E-2</v>
      </c>
      <c r="F18" s="11">
        <f t="shared" si="6"/>
        <v>3.6999999999999922E-2</v>
      </c>
      <c r="G18" s="11">
        <f t="shared" si="6"/>
        <v>3.499999999999992E-2</v>
      </c>
      <c r="H18" s="11">
        <f t="shared" si="6"/>
        <v>3.499999999999992E-2</v>
      </c>
      <c r="I18" s="11">
        <f t="shared" si="6"/>
        <v>3.499999999999992E-2</v>
      </c>
      <c r="J18" s="11">
        <f t="shared" si="6"/>
        <v>3.400000000000003E-2</v>
      </c>
      <c r="K18" s="11">
        <f t="shared" si="6"/>
        <v>3.2999999999999918E-2</v>
      </c>
      <c r="L18" s="11">
        <f t="shared" si="6"/>
        <v>3.0999999999999917E-2</v>
      </c>
      <c r="M18" s="11">
        <f t="shared" si="6"/>
        <v>2.9000000000000137E-2</v>
      </c>
      <c r="N18" s="11">
        <f t="shared" si="6"/>
        <v>2.8000000000000025E-2</v>
      </c>
      <c r="O18" s="11">
        <f t="shared" si="6"/>
        <v>2.7000000000000135E-2</v>
      </c>
      <c r="P18" s="11">
        <f t="shared" si="6"/>
        <v>2.6000000000000023E-2</v>
      </c>
      <c r="Q18" s="11">
        <f t="shared" si="6"/>
        <v>2.4999999999999911E-2</v>
      </c>
      <c r="R18" s="11">
        <f t="shared" si="6"/>
        <v>2.4999999999999911E-2</v>
      </c>
      <c r="S18" s="11">
        <f t="shared" si="6"/>
        <v>2.4000000000000021E-2</v>
      </c>
      <c r="T18" s="11">
        <f t="shared" si="6"/>
        <v>2.2999999999999909E-2</v>
      </c>
      <c r="U18" s="11">
        <f t="shared" si="6"/>
        <v>2.200000000000002E-2</v>
      </c>
      <c r="V18" s="11">
        <f t="shared" si="6"/>
        <v>2.0999999999999908E-2</v>
      </c>
      <c r="W18" s="11">
        <f t="shared" si="6"/>
        <v>2.0000000000000018E-2</v>
      </c>
      <c r="X18" s="11">
        <f t="shared" si="6"/>
        <v>1.9000000000000128E-2</v>
      </c>
      <c r="Y18" s="11">
        <f t="shared" si="6"/>
        <v>1.8000000000000016E-2</v>
      </c>
      <c r="Z18" s="11">
        <f t="shared" si="6"/>
        <v>1.8000000000000016E-2</v>
      </c>
      <c r="AA18" s="11">
        <f t="shared" si="6"/>
        <v>1.7000000000000126E-2</v>
      </c>
      <c r="AB18" s="11">
        <f t="shared" si="6"/>
        <v>1.6000000000000014E-2</v>
      </c>
      <c r="AC18" s="11">
        <f t="shared" si="6"/>
        <v>1.6000000000000014E-2</v>
      </c>
      <c r="AD18" s="11">
        <f t="shared" si="6"/>
        <v>1.4999999999999902E-2</v>
      </c>
      <c r="AE18" s="11">
        <f t="shared" si="6"/>
        <v>1.4999999999999902E-2</v>
      </c>
      <c r="AF18" s="11">
        <f t="shared" si="6"/>
        <v>1.4999999999999902E-2</v>
      </c>
      <c r="AG18" s="11">
        <f t="shared" si="6"/>
        <v>1.4000000000000012E-2</v>
      </c>
      <c r="AH18" s="11">
        <f t="shared" si="6"/>
        <v>1.4000000000000012E-2</v>
      </c>
      <c r="AI18" s="11">
        <f t="shared" si="6"/>
        <v>1.4000000000000012E-2</v>
      </c>
      <c r="AJ18" s="11">
        <f t="shared" si="6"/>
        <v>1.4000000000000012E-2</v>
      </c>
    </row>
    <row r="19" spans="2:36" s="5" customFormat="1">
      <c r="B19" s="12" t="s">
        <v>5</v>
      </c>
      <c r="C19" s="13"/>
      <c r="D19" s="16">
        <v>104.9</v>
      </c>
      <c r="E19" s="16">
        <v>104.6</v>
      </c>
      <c r="F19" s="16">
        <v>103.7</v>
      </c>
      <c r="G19" s="16">
        <v>103.5</v>
      </c>
      <c r="H19" s="16">
        <v>103.5</v>
      </c>
      <c r="I19" s="16">
        <v>103.5</v>
      </c>
      <c r="J19" s="16">
        <v>103.4</v>
      </c>
      <c r="K19" s="16">
        <v>103.3</v>
      </c>
      <c r="L19" s="16">
        <v>103.1</v>
      </c>
      <c r="M19" s="16">
        <v>102.9</v>
      </c>
      <c r="N19" s="16">
        <v>102.8</v>
      </c>
      <c r="O19" s="16">
        <v>102.7</v>
      </c>
      <c r="P19" s="16">
        <v>102.6</v>
      </c>
      <c r="Q19" s="16">
        <v>102.5</v>
      </c>
      <c r="R19" s="16">
        <v>102.5</v>
      </c>
      <c r="S19" s="16">
        <v>102.4</v>
      </c>
      <c r="T19" s="16">
        <v>102.3</v>
      </c>
      <c r="U19" s="16">
        <v>102.2</v>
      </c>
      <c r="V19" s="16">
        <v>102.1</v>
      </c>
      <c r="W19" s="16">
        <v>102</v>
      </c>
      <c r="X19" s="16">
        <v>101.9</v>
      </c>
      <c r="Y19" s="16">
        <v>101.8</v>
      </c>
      <c r="Z19" s="16">
        <v>101.8</v>
      </c>
      <c r="AA19" s="16">
        <v>101.7</v>
      </c>
      <c r="AB19" s="16">
        <v>101.6</v>
      </c>
      <c r="AC19" s="16">
        <v>101.6</v>
      </c>
      <c r="AD19" s="16">
        <v>101.5</v>
      </c>
      <c r="AE19" s="16">
        <v>101.5</v>
      </c>
      <c r="AF19" s="16">
        <v>101.5</v>
      </c>
      <c r="AG19" s="16">
        <v>101.4</v>
      </c>
      <c r="AH19" s="16">
        <v>101.4</v>
      </c>
      <c r="AI19" s="16">
        <v>101.4</v>
      </c>
      <c r="AJ19" s="16">
        <v>101.4</v>
      </c>
    </row>
    <row r="20" spans="2:36" s="5" customFormat="1">
      <c r="B20" s="12" t="s">
        <v>6</v>
      </c>
      <c r="C20" s="12"/>
      <c r="D20" s="17">
        <v>38070314</v>
      </c>
      <c r="E20" s="17">
        <v>37997408</v>
      </c>
      <c r="F20" s="17">
        <v>37918575</v>
      </c>
      <c r="G20" s="17">
        <v>37833310</v>
      </c>
      <c r="H20" s="17">
        <v>37741462</v>
      </c>
      <c r="I20" s="17">
        <v>37643028</v>
      </c>
      <c r="J20" s="17">
        <v>37538019</v>
      </c>
      <c r="K20" s="17">
        <v>37426538</v>
      </c>
      <c r="L20" s="17">
        <v>37308801</v>
      </c>
      <c r="M20" s="17">
        <v>37185073</v>
      </c>
      <c r="N20" s="17">
        <v>37054634</v>
      </c>
      <c r="O20" s="17">
        <v>36917987</v>
      </c>
      <c r="P20" s="17">
        <v>36775688</v>
      </c>
      <c r="Q20" s="17">
        <v>36628362</v>
      </c>
      <c r="R20" s="17">
        <v>36476771</v>
      </c>
      <c r="S20" s="17">
        <v>36321005</v>
      </c>
      <c r="T20" s="17">
        <v>36161695</v>
      </c>
      <c r="U20" s="17">
        <v>35999436</v>
      </c>
      <c r="V20" s="17">
        <v>35834847</v>
      </c>
      <c r="W20" s="17">
        <v>35668232</v>
      </c>
      <c r="X20" s="17">
        <v>35500249</v>
      </c>
      <c r="Y20" s="18">
        <v>35330941</v>
      </c>
      <c r="Z20" s="18">
        <v>35160664</v>
      </c>
      <c r="AA20" s="18">
        <v>34989421</v>
      </c>
      <c r="AB20" s="18">
        <v>34817385</v>
      </c>
      <c r="AC20" s="18">
        <v>34644715</v>
      </c>
      <c r="AD20" s="18">
        <v>34471413</v>
      </c>
      <c r="AE20" s="18">
        <v>34297846</v>
      </c>
      <c r="AF20" s="18">
        <v>34124130</v>
      </c>
      <c r="AG20" s="18">
        <v>33950569</v>
      </c>
      <c r="AH20" s="18">
        <v>33783419.402831256</v>
      </c>
      <c r="AI20" s="18">
        <v>33617092.737019971</v>
      </c>
      <c r="AJ20" s="18">
        <v>33451584.95100975</v>
      </c>
    </row>
    <row r="21" spans="2:36" s="5" customFormat="1">
      <c r="B21" s="9" t="s">
        <v>7</v>
      </c>
      <c r="C21" s="9"/>
      <c r="D21" s="20">
        <f>D20/J9</f>
        <v>0.99823036481072691</v>
      </c>
      <c r="E21" s="20">
        <f t="shared" ref="E21:AJ21" si="7">E20/D20</f>
        <v>0.99808496457370954</v>
      </c>
      <c r="F21" s="20">
        <f t="shared" si="7"/>
        <v>0.99792530585244132</v>
      </c>
      <c r="G21" s="20">
        <f t="shared" si="7"/>
        <v>0.9977513659202647</v>
      </c>
      <c r="H21" s="20">
        <f t="shared" si="7"/>
        <v>0.99757229806221026</v>
      </c>
      <c r="I21" s="20">
        <f t="shared" si="7"/>
        <v>0.99739188693856107</v>
      </c>
      <c r="J21" s="20">
        <f t="shared" si="7"/>
        <v>0.99721039975848913</v>
      </c>
      <c r="K21" s="20">
        <f t="shared" si="7"/>
        <v>0.99703018425133194</v>
      </c>
      <c r="L21" s="20">
        <f t="shared" si="7"/>
        <v>0.99685418405517501</v>
      </c>
      <c r="M21" s="20">
        <f t="shared" si="7"/>
        <v>0.99668367793432977</v>
      </c>
      <c r="N21" s="20">
        <f t="shared" si="7"/>
        <v>0.9964921677039601</v>
      </c>
      <c r="O21" s="20">
        <f t="shared" si="7"/>
        <v>0.99631228310067776</v>
      </c>
      <c r="P21" s="20">
        <f t="shared" si="7"/>
        <v>0.99614553740430101</v>
      </c>
      <c r="Q21" s="20">
        <f t="shared" si="7"/>
        <v>0.99599392946775056</v>
      </c>
      <c r="R21" s="20">
        <f t="shared" si="7"/>
        <v>0.99586137649289364</v>
      </c>
      <c r="S21" s="20">
        <f t="shared" si="7"/>
        <v>0.99572972070362253</v>
      </c>
      <c r="T21" s="20">
        <f t="shared" si="7"/>
        <v>0.99561383282208182</v>
      </c>
      <c r="U21" s="20">
        <f t="shared" si="7"/>
        <v>0.99551295922384164</v>
      </c>
      <c r="V21" s="20">
        <f t="shared" si="7"/>
        <v>0.99542801170551676</v>
      </c>
      <c r="W21" s="20">
        <f t="shared" si="7"/>
        <v>0.99535047547433364</v>
      </c>
      <c r="X21" s="20">
        <f t="shared" si="7"/>
        <v>0.99529040295577309</v>
      </c>
      <c r="Y21" s="20">
        <f t="shared" si="7"/>
        <v>0.99523079401499415</v>
      </c>
      <c r="Z21" s="20">
        <f t="shared" si="7"/>
        <v>0.99518051330701895</v>
      </c>
      <c r="AA21" s="20">
        <f t="shared" si="7"/>
        <v>0.99512969948462859</v>
      </c>
      <c r="AB21" s="20">
        <f t="shared" si="7"/>
        <v>0.99508319957623759</v>
      </c>
      <c r="AC21" s="20">
        <f t="shared" si="7"/>
        <v>0.99504069590522093</v>
      </c>
      <c r="AD21" s="20">
        <f t="shared" si="7"/>
        <v>0.99499773630696631</v>
      </c>
      <c r="AE21" s="20">
        <f t="shared" si="7"/>
        <v>0.99496490033640339</v>
      </c>
      <c r="AF21" s="20">
        <f t="shared" si="7"/>
        <v>0.99493507551465477</v>
      </c>
      <c r="AG21" s="20">
        <f t="shared" si="7"/>
        <v>0.99491383370066866</v>
      </c>
      <c r="AH21" s="20">
        <f t="shared" si="7"/>
        <v>0.99507667759062468</v>
      </c>
      <c r="AI21" s="20">
        <f t="shared" si="7"/>
        <v>0.99507667759062468</v>
      </c>
      <c r="AJ21" s="20">
        <f t="shared" si="7"/>
        <v>0.99507667759062457</v>
      </c>
    </row>
    <row r="22" spans="2:36" s="5" customFormat="1">
      <c r="B22" s="9" t="s">
        <v>8</v>
      </c>
      <c r="C22" s="7"/>
      <c r="D22" s="21">
        <f>D19/100/D21</f>
        <v>1.0508596381947364</v>
      </c>
      <c r="E22" s="21">
        <f t="shared" ref="E22:AJ22" si="8">E19/100/E21</f>
        <v>1.04800697047546</v>
      </c>
      <c r="F22" s="21">
        <f t="shared" si="8"/>
        <v>1.0391559307278819</v>
      </c>
      <c r="G22" s="21">
        <f t="shared" si="8"/>
        <v>1.0373325813945435</v>
      </c>
      <c r="H22" s="21">
        <f t="shared" si="8"/>
        <v>1.0375187863681592</v>
      </c>
      <c r="I22" s="21">
        <f t="shared" si="8"/>
        <v>1.0377064557612103</v>
      </c>
      <c r="J22" s="21">
        <f t="shared" si="8"/>
        <v>1.0368925156119719</v>
      </c>
      <c r="K22" s="21">
        <f t="shared" si="8"/>
        <v>1.0360769576657076</v>
      </c>
      <c r="L22" s="21">
        <f t="shared" si="8"/>
        <v>1.0342535713758261</v>
      </c>
      <c r="M22" s="21">
        <f t="shared" si="8"/>
        <v>1.0324238499948624</v>
      </c>
      <c r="N22" s="21">
        <f t="shared" si="8"/>
        <v>1.0316187455528505</v>
      </c>
      <c r="O22" s="21">
        <f t="shared" si="8"/>
        <v>1.0308013033863412</v>
      </c>
      <c r="P22" s="21">
        <f t="shared" si="8"/>
        <v>1.0299699807655536</v>
      </c>
      <c r="Q22" s="21">
        <f t="shared" si="8"/>
        <v>1.0291227382758747</v>
      </c>
      <c r="R22" s="21">
        <f t="shared" si="8"/>
        <v>1.0292597184657599</v>
      </c>
      <c r="S22" s="21">
        <f t="shared" si="8"/>
        <v>1.0283915190122079</v>
      </c>
      <c r="T22" s="21">
        <f t="shared" si="8"/>
        <v>1.0275068166743844</v>
      </c>
      <c r="U22" s="21">
        <f t="shared" si="8"/>
        <v>1.0266064248895455</v>
      </c>
      <c r="V22" s="21">
        <f t="shared" si="8"/>
        <v>1.025689440113976</v>
      </c>
      <c r="W22" s="21">
        <f t="shared" si="8"/>
        <v>1.0247646684590366</v>
      </c>
      <c r="X22" s="21">
        <f t="shared" si="8"/>
        <v>1.0238217880668952</v>
      </c>
      <c r="Y22" s="21">
        <f t="shared" si="8"/>
        <v>1.0228783173932445</v>
      </c>
      <c r="Z22" s="21">
        <f t="shared" si="8"/>
        <v>1.0229299975108548</v>
      </c>
      <c r="AA22" s="21">
        <f t="shared" si="8"/>
        <v>1.021977336749871</v>
      </c>
      <c r="AB22" s="21">
        <f t="shared" si="8"/>
        <v>1.021020152317585</v>
      </c>
      <c r="AC22" s="21">
        <f t="shared" si="8"/>
        <v>1.0210637657143378</v>
      </c>
      <c r="AD22" s="21">
        <f t="shared" si="8"/>
        <v>1.0201028233162359</v>
      </c>
      <c r="AE22" s="21">
        <f t="shared" si="8"/>
        <v>1.0201364888920428</v>
      </c>
      <c r="AF22" s="21">
        <f t="shared" si="8"/>
        <v>1.0201670691677707</v>
      </c>
      <c r="AG22" s="21">
        <f t="shared" si="8"/>
        <v>1.0191837379809452</v>
      </c>
      <c r="AH22" s="21">
        <f t="shared" si="8"/>
        <v>1.0190169489804488</v>
      </c>
      <c r="AI22" s="21">
        <f t="shared" si="8"/>
        <v>1.0190169489804488</v>
      </c>
      <c r="AJ22" s="21">
        <f t="shared" si="8"/>
        <v>1.0190169489804488</v>
      </c>
    </row>
    <row r="23" spans="2:36" s="5" customFormat="1">
      <c r="B23" s="12" t="s">
        <v>9</v>
      </c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2:36" s="5" customFormat="1">
      <c r="B24" s="12" t="s">
        <v>10</v>
      </c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36" s="5" customFormat="1">
      <c r="B25" s="26" t="s">
        <v>11</v>
      </c>
      <c r="C25" s="2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36" s="5" customFormat="1">
      <c r="B26" s="9" t="s">
        <v>12</v>
      </c>
      <c r="C26" s="9" t="s">
        <v>13</v>
      </c>
      <c r="D26" s="22">
        <v>4.4429999999999996</v>
      </c>
      <c r="E26" s="22">
        <v>4.4429999999999996</v>
      </c>
      <c r="F26" s="22">
        <v>4.4429999999999996</v>
      </c>
      <c r="G26" s="22">
        <v>4.4429999999999996</v>
      </c>
      <c r="H26" s="22">
        <v>4.4429999999999996</v>
      </c>
      <c r="I26" s="22">
        <v>4.4429999999999996</v>
      </c>
      <c r="J26" s="22">
        <v>4.4429999999999996</v>
      </c>
      <c r="K26" s="22">
        <v>4.4429999999999996</v>
      </c>
      <c r="L26" s="22">
        <v>4.4429999999999996</v>
      </c>
      <c r="M26" s="22">
        <v>4.4429999999999996</v>
      </c>
      <c r="N26" s="22">
        <v>4.4429999999999996</v>
      </c>
      <c r="O26" s="22">
        <v>4.4429999999999996</v>
      </c>
      <c r="P26" s="22">
        <v>4.4429999999999996</v>
      </c>
      <c r="Q26" s="22">
        <v>4.4429999999999996</v>
      </c>
      <c r="R26" s="22">
        <v>4.4429999999999996</v>
      </c>
      <c r="S26" s="22">
        <v>4.4429999999999996</v>
      </c>
      <c r="T26" s="22">
        <v>4.4429999999999996</v>
      </c>
      <c r="U26" s="22">
        <v>4.4429999999999996</v>
      </c>
      <c r="V26" s="22">
        <v>4.4429999999999996</v>
      </c>
      <c r="W26" s="22">
        <v>4.4429999999999996</v>
      </c>
      <c r="X26" s="13">
        <v>4.4429999999999996</v>
      </c>
      <c r="Y26" s="28">
        <v>4.4429999999999996</v>
      </c>
      <c r="Z26" s="28">
        <v>4.4429999999999996</v>
      </c>
      <c r="AA26" s="28">
        <v>4.4429999999999996</v>
      </c>
      <c r="AB26" s="28">
        <v>4.4429999999999996</v>
      </c>
      <c r="AC26" s="28">
        <v>4.4429999999999996</v>
      </c>
      <c r="AD26" s="28">
        <v>4.4429999999999996</v>
      </c>
      <c r="AE26" s="28">
        <v>4.4429999999999996</v>
      </c>
      <c r="AF26" s="28">
        <v>4.4429999999999996</v>
      </c>
      <c r="AG26" s="28">
        <v>4.4429999999999996</v>
      </c>
      <c r="AH26" s="28">
        <v>4.4429999999999996</v>
      </c>
      <c r="AI26" s="28">
        <v>4.4429999999999996</v>
      </c>
      <c r="AJ26" s="28">
        <v>4.4429999999999996</v>
      </c>
    </row>
    <row r="27" spans="2:36" s="5" customFormat="1">
      <c r="B27" s="6"/>
    </row>
    <row r="28" spans="2:36" s="5" customFormat="1">
      <c r="B28" s="6"/>
    </row>
    <row r="29" spans="2:36" s="29" customFormat="1">
      <c r="B29" s="30"/>
      <c r="C29" s="30"/>
      <c r="D29" s="31">
        <v>2014</v>
      </c>
      <c r="E29" s="31">
        <v>2015</v>
      </c>
      <c r="F29" s="31">
        <f>E29+1</f>
        <v>2016</v>
      </c>
      <c r="G29" s="31">
        <f t="shared" ref="G29:J29" si="9">F29+1</f>
        <v>2017</v>
      </c>
      <c r="H29" s="31">
        <f t="shared" si="9"/>
        <v>2018</v>
      </c>
      <c r="I29" s="31">
        <f t="shared" si="9"/>
        <v>2019</v>
      </c>
      <c r="J29" s="31">
        <f t="shared" si="9"/>
        <v>2020</v>
      </c>
    </row>
    <row r="30" spans="2:36" s="5" customFormat="1" ht="13.5" thickBot="1">
      <c r="B30" s="32" t="s">
        <v>14</v>
      </c>
      <c r="C30" s="33"/>
      <c r="D30" s="9"/>
      <c r="E30" s="9"/>
      <c r="F30" s="9"/>
      <c r="G30" s="9"/>
      <c r="H30" s="9"/>
      <c r="I30" s="9"/>
      <c r="J30" s="9"/>
    </row>
    <row r="31" spans="2:36" s="5" customFormat="1" ht="13.5" thickBot="1">
      <c r="B31" s="35" t="s">
        <v>15</v>
      </c>
      <c r="C31" s="36">
        <v>0.5</v>
      </c>
      <c r="D31" s="37"/>
      <c r="E31" s="9"/>
      <c r="F31" s="9"/>
      <c r="G31" s="9"/>
      <c r="H31" s="9"/>
      <c r="I31" s="9"/>
      <c r="J31" s="9"/>
    </row>
    <row r="32" spans="2:36" s="5" customFormat="1">
      <c r="B32" s="38" t="s">
        <v>16</v>
      </c>
      <c r="C32" s="39"/>
      <c r="D32" s="40">
        <v>1.0180245624035178</v>
      </c>
      <c r="E32" s="40">
        <v>1.0138754603821296</v>
      </c>
      <c r="F32" s="40">
        <v>1.013470690469128</v>
      </c>
      <c r="G32" s="40">
        <v>1.0403836193330833</v>
      </c>
      <c r="H32" s="40">
        <v>1.0393400055296518</v>
      </c>
      <c r="I32" s="40">
        <v>1.0450113157485423</v>
      </c>
      <c r="J32" s="88">
        <v>1.0229574752724422</v>
      </c>
    </row>
    <row r="33" spans="2:36" s="5" customFormat="1" ht="13.5" thickBot="1">
      <c r="B33" s="32" t="s">
        <v>17</v>
      </c>
      <c r="C33" s="33"/>
      <c r="D33" s="9"/>
      <c r="E33" s="9"/>
      <c r="F33" s="9"/>
      <c r="G33" s="9"/>
      <c r="H33" s="9"/>
      <c r="I33" s="9"/>
      <c r="J33" s="9"/>
    </row>
    <row r="34" spans="2:36" s="5" customFormat="1" ht="13.5" thickBot="1">
      <c r="B34" s="35" t="s">
        <v>18</v>
      </c>
      <c r="C34" s="36">
        <v>0.8</v>
      </c>
      <c r="D34" s="37"/>
      <c r="E34" s="9"/>
      <c r="F34" s="9"/>
      <c r="G34" s="9"/>
      <c r="H34" s="9"/>
      <c r="I34" s="9"/>
      <c r="J34" s="9"/>
    </row>
    <row r="35" spans="2:36" s="5" customFormat="1">
      <c r="B35" s="38" t="s">
        <v>19</v>
      </c>
      <c r="C35" s="39"/>
      <c r="D35" s="40">
        <v>1.0282392998456285</v>
      </c>
      <c r="E35" s="40">
        <v>1.0264007366114074</v>
      </c>
      <c r="F35" s="40">
        <v>1.0227531047506049</v>
      </c>
      <c r="G35" s="40">
        <v>1.0550137909329336</v>
      </c>
      <c r="H35" s="40">
        <v>1.0557440088474426</v>
      </c>
      <c r="I35" s="40">
        <v>1.0594181051976677</v>
      </c>
      <c r="J35" s="88">
        <v>1.0145319604359073</v>
      </c>
    </row>
    <row r="36" spans="2:36" s="5" customFormat="1">
      <c r="B36" s="42" t="s">
        <v>20</v>
      </c>
      <c r="C36" s="6" t="s">
        <v>21</v>
      </c>
      <c r="D36" s="9"/>
      <c r="E36" s="9"/>
      <c r="F36" s="9"/>
      <c r="G36" s="9"/>
      <c r="H36" s="9"/>
      <c r="I36" s="9"/>
      <c r="J36" s="9"/>
    </row>
    <row r="37" spans="2:36" s="5" customFormat="1">
      <c r="B37" s="42" t="s">
        <v>22</v>
      </c>
      <c r="C37" s="43">
        <f>PRODUCT(1.022,1.033,1.003,1.016,1.027,1.025,1.013)</f>
        <v>1.1472276684977725</v>
      </c>
      <c r="D37" s="22">
        <v>1.004</v>
      </c>
      <c r="E37" s="22">
        <v>1.002</v>
      </c>
      <c r="F37" s="22">
        <v>1.002</v>
      </c>
      <c r="G37" s="22">
        <v>1.0149999999999999</v>
      </c>
      <c r="H37" s="22">
        <v>1.018</v>
      </c>
      <c r="I37" s="22">
        <v>1.012</v>
      </c>
      <c r="J37" s="86">
        <v>1.0029999999999999</v>
      </c>
    </row>
    <row r="38" spans="2:36" s="1" customFormat="1"/>
    <row r="39" spans="2:36" s="1" customFormat="1">
      <c r="B39" s="30"/>
      <c r="D39" s="31">
        <f>J29+1</f>
        <v>2021</v>
      </c>
      <c r="E39" s="31">
        <f t="shared" ref="E39:AJ39" si="10">D39+1</f>
        <v>2022</v>
      </c>
      <c r="F39" s="31">
        <f t="shared" si="10"/>
        <v>2023</v>
      </c>
      <c r="G39" s="31">
        <f t="shared" si="10"/>
        <v>2024</v>
      </c>
      <c r="H39" s="31">
        <f t="shared" si="10"/>
        <v>2025</v>
      </c>
      <c r="I39" s="31">
        <f t="shared" si="10"/>
        <v>2026</v>
      </c>
      <c r="J39" s="31">
        <f t="shared" si="10"/>
        <v>2027</v>
      </c>
      <c r="K39" s="31">
        <f t="shared" si="10"/>
        <v>2028</v>
      </c>
      <c r="L39" s="31">
        <f t="shared" si="10"/>
        <v>2029</v>
      </c>
      <c r="M39" s="31">
        <f t="shared" si="10"/>
        <v>2030</v>
      </c>
      <c r="N39" s="31">
        <f t="shared" si="10"/>
        <v>2031</v>
      </c>
      <c r="O39" s="31">
        <f t="shared" si="10"/>
        <v>2032</v>
      </c>
      <c r="P39" s="31">
        <f t="shared" si="10"/>
        <v>2033</v>
      </c>
      <c r="Q39" s="31">
        <f t="shared" si="10"/>
        <v>2034</v>
      </c>
      <c r="R39" s="31">
        <f t="shared" si="10"/>
        <v>2035</v>
      </c>
      <c r="S39" s="31">
        <f t="shared" si="10"/>
        <v>2036</v>
      </c>
      <c r="T39" s="31">
        <f t="shared" si="10"/>
        <v>2037</v>
      </c>
      <c r="U39" s="31">
        <f t="shared" si="10"/>
        <v>2038</v>
      </c>
      <c r="V39" s="31">
        <f t="shared" si="10"/>
        <v>2039</v>
      </c>
      <c r="W39" s="31">
        <f t="shared" si="10"/>
        <v>2040</v>
      </c>
      <c r="X39" s="31">
        <f t="shared" si="10"/>
        <v>2041</v>
      </c>
      <c r="Y39" s="31">
        <f t="shared" si="10"/>
        <v>2042</v>
      </c>
      <c r="Z39" s="31">
        <f t="shared" si="10"/>
        <v>2043</v>
      </c>
      <c r="AA39" s="31">
        <f t="shared" si="10"/>
        <v>2044</v>
      </c>
      <c r="AB39" s="31">
        <f t="shared" si="10"/>
        <v>2045</v>
      </c>
      <c r="AC39" s="31">
        <f t="shared" si="10"/>
        <v>2046</v>
      </c>
      <c r="AD39" s="31">
        <f t="shared" si="10"/>
        <v>2047</v>
      </c>
      <c r="AE39" s="31">
        <f t="shared" si="10"/>
        <v>2048</v>
      </c>
      <c r="AF39" s="31">
        <f t="shared" si="10"/>
        <v>2049</v>
      </c>
      <c r="AG39" s="31">
        <f t="shared" si="10"/>
        <v>2050</v>
      </c>
      <c r="AH39" s="31">
        <f t="shared" si="10"/>
        <v>2051</v>
      </c>
      <c r="AI39" s="31">
        <f t="shared" si="10"/>
        <v>2052</v>
      </c>
      <c r="AJ39" s="31">
        <f t="shared" si="10"/>
        <v>2053</v>
      </c>
    </row>
    <row r="40" spans="2:36" s="1" customFormat="1">
      <c r="B40" s="150" t="s">
        <v>14</v>
      </c>
      <c r="C40" s="15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2:36" s="1" customFormat="1">
      <c r="B41" s="152" t="s">
        <v>15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2:36" s="1" customFormat="1">
      <c r="B42" s="148" t="s">
        <v>16</v>
      </c>
      <c r="C42" s="148"/>
      <c r="D42" s="41">
        <f t="shared" ref="D42:AJ42" si="11">$C$31*(D22-1)+1</f>
        <v>1.0254298190973681</v>
      </c>
      <c r="E42" s="41">
        <f t="shared" si="11"/>
        <v>1.02400348523773</v>
      </c>
      <c r="F42" s="41">
        <f t="shared" si="11"/>
        <v>1.019577965363941</v>
      </c>
      <c r="G42" s="41">
        <f t="shared" si="11"/>
        <v>1.0186662906972717</v>
      </c>
      <c r="H42" s="41">
        <f t="shared" si="11"/>
        <v>1.0187593931840797</v>
      </c>
      <c r="I42" s="41">
        <f t="shared" si="11"/>
        <v>1.0188532278806051</v>
      </c>
      <c r="J42" s="41">
        <f t="shared" si="11"/>
        <v>1.0184462578059859</v>
      </c>
      <c r="K42" s="41">
        <f t="shared" si="11"/>
        <v>1.0180384788328538</v>
      </c>
      <c r="L42" s="41">
        <f t="shared" si="11"/>
        <v>1.0171267856879131</v>
      </c>
      <c r="M42" s="41">
        <f t="shared" si="11"/>
        <v>1.0162119249974313</v>
      </c>
      <c r="N42" s="41">
        <f t="shared" si="11"/>
        <v>1.0158093727764252</v>
      </c>
      <c r="O42" s="41">
        <f t="shared" si="11"/>
        <v>1.0154006516931706</v>
      </c>
      <c r="P42" s="41">
        <f t="shared" si="11"/>
        <v>1.0149849903827768</v>
      </c>
      <c r="Q42" s="41">
        <f t="shared" si="11"/>
        <v>1.0145613691379374</v>
      </c>
      <c r="R42" s="41">
        <f t="shared" si="11"/>
        <v>1.01462985923288</v>
      </c>
      <c r="S42" s="41">
        <f t="shared" si="11"/>
        <v>1.014195759506104</v>
      </c>
      <c r="T42" s="41">
        <f t="shared" si="11"/>
        <v>1.0137534083371922</v>
      </c>
      <c r="U42" s="41">
        <f t="shared" si="11"/>
        <v>1.0133032124447727</v>
      </c>
      <c r="V42" s="41">
        <f t="shared" si="11"/>
        <v>1.0128447200569881</v>
      </c>
      <c r="W42" s="41">
        <f t="shared" si="11"/>
        <v>1.0123823342295184</v>
      </c>
      <c r="X42" s="41">
        <f t="shared" si="11"/>
        <v>1.0119108940334476</v>
      </c>
      <c r="Y42" s="41">
        <f t="shared" si="11"/>
        <v>1.0114391586966223</v>
      </c>
      <c r="Z42" s="41">
        <f t="shared" si="11"/>
        <v>1.0114649987554274</v>
      </c>
      <c r="AA42" s="41">
        <f t="shared" si="11"/>
        <v>1.0109886683749356</v>
      </c>
      <c r="AB42" s="41">
        <f t="shared" si="11"/>
        <v>1.0105100761587926</v>
      </c>
      <c r="AC42" s="41">
        <f t="shared" si="11"/>
        <v>1.010531882857169</v>
      </c>
      <c r="AD42" s="41">
        <f t="shared" si="11"/>
        <v>1.0100514116581181</v>
      </c>
      <c r="AE42" s="41">
        <f t="shared" si="11"/>
        <v>1.0100682444460214</v>
      </c>
      <c r="AF42" s="41">
        <f t="shared" si="11"/>
        <v>1.0100835345838854</v>
      </c>
      <c r="AG42" s="41">
        <f t="shared" si="11"/>
        <v>1.0095918689904726</v>
      </c>
      <c r="AH42" s="41">
        <f t="shared" si="11"/>
        <v>1.0095084744902243</v>
      </c>
      <c r="AI42" s="41">
        <f t="shared" si="11"/>
        <v>1.0095084744902243</v>
      </c>
      <c r="AJ42" s="41">
        <f t="shared" si="11"/>
        <v>1.0095084744902243</v>
      </c>
    </row>
    <row r="43" spans="2:36" s="1" customFormat="1">
      <c r="B43" s="148" t="s">
        <v>17</v>
      </c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2:36" s="1" customFormat="1">
      <c r="B44" s="152" t="s">
        <v>18</v>
      </c>
      <c r="C44" s="15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2:36" s="1" customFormat="1">
      <c r="B45" s="148" t="s">
        <v>19</v>
      </c>
      <c r="C45" s="148"/>
      <c r="D45" s="41">
        <f t="shared" ref="D45:AJ45" si="12">$C$34*(D22-1)+1</f>
        <v>1.040687710555789</v>
      </c>
      <c r="E45" s="41">
        <f t="shared" si="12"/>
        <v>1.0384055763803679</v>
      </c>
      <c r="F45" s="41">
        <f t="shared" si="12"/>
        <v>1.0313247445823055</v>
      </c>
      <c r="G45" s="41">
        <f t="shared" si="12"/>
        <v>1.0298660651156348</v>
      </c>
      <c r="H45" s="41">
        <f t="shared" si="12"/>
        <v>1.0300150290945274</v>
      </c>
      <c r="I45" s="41">
        <f t="shared" si="12"/>
        <v>1.0301651646089682</v>
      </c>
      <c r="J45" s="41">
        <f t="shared" si="12"/>
        <v>1.0295140124895776</v>
      </c>
      <c r="K45" s="41">
        <f t="shared" si="12"/>
        <v>1.0288615661325662</v>
      </c>
      <c r="L45" s="41">
        <f t="shared" si="12"/>
        <v>1.0274028571006608</v>
      </c>
      <c r="M45" s="41">
        <f t="shared" si="12"/>
        <v>1.0259390799958898</v>
      </c>
      <c r="N45" s="41">
        <f t="shared" si="12"/>
        <v>1.0252949964422804</v>
      </c>
      <c r="O45" s="41">
        <f t="shared" si="12"/>
        <v>1.0246410427090731</v>
      </c>
      <c r="P45" s="41">
        <f t="shared" si="12"/>
        <v>1.0239759846124428</v>
      </c>
      <c r="Q45" s="41">
        <f t="shared" si="12"/>
        <v>1.0232981906206997</v>
      </c>
      <c r="R45" s="41">
        <f t="shared" si="12"/>
        <v>1.023407774772608</v>
      </c>
      <c r="S45" s="41">
        <f t="shared" si="12"/>
        <v>1.0227132152097664</v>
      </c>
      <c r="T45" s="41">
        <f t="shared" si="12"/>
        <v>1.0220054533395075</v>
      </c>
      <c r="U45" s="41">
        <f t="shared" si="12"/>
        <v>1.0212851399116363</v>
      </c>
      <c r="V45" s="41">
        <f t="shared" si="12"/>
        <v>1.0205515520911808</v>
      </c>
      <c r="W45" s="41">
        <f t="shared" si="12"/>
        <v>1.0198117347672293</v>
      </c>
      <c r="X45" s="41">
        <f t="shared" si="12"/>
        <v>1.019057430453516</v>
      </c>
      <c r="Y45" s="41">
        <f t="shared" si="12"/>
        <v>1.0183026539145956</v>
      </c>
      <c r="Z45" s="41">
        <f t="shared" si="12"/>
        <v>1.0183439980086839</v>
      </c>
      <c r="AA45" s="41">
        <f t="shared" si="12"/>
        <v>1.0175818693998968</v>
      </c>
      <c r="AB45" s="41">
        <f t="shared" si="12"/>
        <v>1.0168161218540681</v>
      </c>
      <c r="AC45" s="41">
        <f t="shared" si="12"/>
        <v>1.0168510125714703</v>
      </c>
      <c r="AD45" s="41">
        <f t="shared" si="12"/>
        <v>1.0160822586529887</v>
      </c>
      <c r="AE45" s="41">
        <f t="shared" si="12"/>
        <v>1.0161091911136342</v>
      </c>
      <c r="AF45" s="41">
        <f t="shared" si="12"/>
        <v>1.0161336553342166</v>
      </c>
      <c r="AG45" s="41">
        <f t="shared" si="12"/>
        <v>1.0153469903847561</v>
      </c>
      <c r="AH45" s="41">
        <f t="shared" si="12"/>
        <v>1.015213559184359</v>
      </c>
      <c r="AI45" s="41">
        <f t="shared" si="12"/>
        <v>1.015213559184359</v>
      </c>
      <c r="AJ45" s="41">
        <f t="shared" si="12"/>
        <v>1.015213559184359</v>
      </c>
    </row>
    <row r="46" spans="2:36" s="1" customFormat="1">
      <c r="B46" s="148" t="s">
        <v>20</v>
      </c>
      <c r="C46" s="14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2:36" s="1" customFormat="1">
      <c r="B47" s="148" t="s">
        <v>22</v>
      </c>
      <c r="C47" s="148"/>
      <c r="D47" s="7">
        <v>1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>
        <v>1</v>
      </c>
      <c r="AE47" s="7">
        <v>1</v>
      </c>
      <c r="AF47" s="7">
        <v>1</v>
      </c>
      <c r="AG47" s="7">
        <v>1</v>
      </c>
      <c r="AH47" s="7">
        <v>1</v>
      </c>
      <c r="AI47" s="7">
        <v>1</v>
      </c>
      <c r="AJ47" s="7">
        <v>1</v>
      </c>
    </row>
    <row r="48" spans="2:36" s="1" customFormat="1"/>
    <row r="49" spans="2:7" s="44" customFormat="1" ht="18.75">
      <c r="B49" s="2" t="s">
        <v>23</v>
      </c>
    </row>
    <row r="51" spans="2:7" ht="13.5" thickBot="1">
      <c r="B51" s="48" t="s">
        <v>1</v>
      </c>
      <c r="C51" s="48" t="s">
        <v>25</v>
      </c>
      <c r="D51" s="48" t="s">
        <v>31</v>
      </c>
    </row>
    <row r="52" spans="2:7" ht="6" customHeight="1" thickTop="1"/>
    <row r="53" spans="2:7">
      <c r="B53" s="4" t="s">
        <v>66</v>
      </c>
      <c r="C53" s="4" t="s">
        <v>4</v>
      </c>
      <c r="D53" s="58">
        <v>0.23</v>
      </c>
    </row>
    <row r="55" spans="2:7" s="49" customFormat="1" ht="15.75">
      <c r="B55" s="49" t="s">
        <v>27</v>
      </c>
      <c r="C55" s="71"/>
      <c r="D55" s="71" t="s">
        <v>62</v>
      </c>
    </row>
    <row r="57" spans="2:7" ht="13.5" thickBot="1">
      <c r="B57" s="47" t="s">
        <v>24</v>
      </c>
      <c r="C57" s="48" t="s">
        <v>25</v>
      </c>
      <c r="D57" s="48" t="s">
        <v>26</v>
      </c>
      <c r="E57" s="66"/>
      <c r="F57" s="48" t="s">
        <v>71</v>
      </c>
      <c r="G57" s="66"/>
    </row>
    <row r="58" spans="2:7" ht="7.5" customHeight="1" thickTop="1"/>
    <row r="59" spans="2:7">
      <c r="B59" s="4" t="s">
        <v>58</v>
      </c>
      <c r="C59" s="4" t="s">
        <v>63</v>
      </c>
      <c r="D59" s="78">
        <v>1000</v>
      </c>
      <c r="F59" s="54" t="s">
        <v>82</v>
      </c>
    </row>
    <row r="60" spans="2:7">
      <c r="B60" s="4" t="s">
        <v>56</v>
      </c>
      <c r="C60" s="4" t="s">
        <v>63</v>
      </c>
      <c r="D60" s="78">
        <v>2600</v>
      </c>
      <c r="F60" s="54" t="s">
        <v>82</v>
      </c>
    </row>
    <row r="61" spans="2:7">
      <c r="B61" s="4" t="s">
        <v>57</v>
      </c>
      <c r="C61" s="4" t="s">
        <v>63</v>
      </c>
      <c r="D61" s="78">
        <v>3600</v>
      </c>
      <c r="F61" s="54" t="s">
        <v>82</v>
      </c>
    </row>
    <row r="62" spans="2:7">
      <c r="D62" s="78"/>
    </row>
    <row r="65" spans="2:6" s="50" customFormat="1" ht="15.75">
      <c r="B65" s="49" t="s">
        <v>28</v>
      </c>
      <c r="D65" s="71" t="s">
        <v>62</v>
      </c>
    </row>
    <row r="67" spans="2:6" ht="13.5" thickBot="1">
      <c r="B67" s="48" t="s">
        <v>1</v>
      </c>
      <c r="C67" s="48" t="s">
        <v>25</v>
      </c>
      <c r="D67" s="48" t="s">
        <v>26</v>
      </c>
    </row>
    <row r="68" spans="2:6" ht="3.75" customHeight="1" thickTop="1"/>
    <row r="69" spans="2:6">
      <c r="B69" s="4" t="s">
        <v>59</v>
      </c>
      <c r="C69" s="4" t="s">
        <v>63</v>
      </c>
      <c r="D69" s="78">
        <v>160</v>
      </c>
    </row>
    <row r="70" spans="2:6">
      <c r="B70" s="4" t="s">
        <v>60</v>
      </c>
      <c r="C70" s="4" t="s">
        <v>63</v>
      </c>
      <c r="D70" s="78">
        <v>1500</v>
      </c>
    </row>
    <row r="71" spans="2:6">
      <c r="B71" s="4" t="s">
        <v>61</v>
      </c>
      <c r="C71" s="4" t="s">
        <v>63</v>
      </c>
      <c r="D71" s="78">
        <v>10000</v>
      </c>
    </row>
    <row r="72" spans="2:6">
      <c r="B72" s="4" t="s">
        <v>72</v>
      </c>
      <c r="C72" s="4" t="s">
        <v>63</v>
      </c>
      <c r="D72" s="4">
        <v>500</v>
      </c>
    </row>
    <row r="75" spans="2:6" s="51" customFormat="1" ht="15.75">
      <c r="B75" s="52" t="s">
        <v>29</v>
      </c>
    </row>
    <row r="77" spans="2:6" ht="13.5" thickBot="1">
      <c r="B77" s="47" t="s">
        <v>30</v>
      </c>
      <c r="C77" s="47" t="s">
        <v>25</v>
      </c>
      <c r="D77" s="47" t="s">
        <v>31</v>
      </c>
      <c r="E77" s="140" t="s">
        <v>36</v>
      </c>
      <c r="F77" s="140"/>
    </row>
    <row r="78" spans="2:6" ht="8.25" customHeight="1" thickTop="1">
      <c r="B78" s="46"/>
      <c r="C78" s="46"/>
      <c r="D78" s="46"/>
    </row>
    <row r="79" spans="2:6">
      <c r="B79" s="45" t="s">
        <v>35</v>
      </c>
    </row>
    <row r="80" spans="2:6">
      <c r="B80" s="53" t="str">
        <f>B59</f>
        <v>Autobus ON</v>
      </c>
      <c r="C80" s="4" t="s">
        <v>4</v>
      </c>
      <c r="D80" s="55">
        <f>100%/E80</f>
        <v>0.125</v>
      </c>
      <c r="E80" s="4">
        <v>8</v>
      </c>
      <c r="F80" s="4" t="s">
        <v>37</v>
      </c>
    </row>
    <row r="81" spans="2:9">
      <c r="B81" s="53" t="str">
        <f>B60</f>
        <v>Autobus EE</v>
      </c>
      <c r="C81" s="4" t="s">
        <v>4</v>
      </c>
      <c r="D81" s="55">
        <f t="shared" ref="D81:D86" si="13">100%/E81</f>
        <v>0.125</v>
      </c>
      <c r="E81" s="4">
        <v>8</v>
      </c>
      <c r="F81" s="4" t="s">
        <v>37</v>
      </c>
    </row>
    <row r="82" spans="2:9">
      <c r="B82" s="53" t="str">
        <f>B61</f>
        <v>Autobus H2</v>
      </c>
      <c r="C82" s="4" t="s">
        <v>4</v>
      </c>
      <c r="D82" s="55">
        <f t="shared" si="13"/>
        <v>0.125</v>
      </c>
      <c r="E82" s="4">
        <v>8</v>
      </c>
      <c r="F82" s="4" t="s">
        <v>37</v>
      </c>
    </row>
    <row r="83" spans="2:9">
      <c r="B83" s="53"/>
      <c r="D83" s="55"/>
    </row>
    <row r="84" spans="2:9">
      <c r="B84" s="45" t="s">
        <v>32</v>
      </c>
      <c r="D84" s="55"/>
    </row>
    <row r="85" spans="2:9">
      <c r="B85" s="53" t="str">
        <f>B69</f>
        <v>Ładowarka dwustanowiskowa typu pug-in</v>
      </c>
      <c r="C85" s="4" t="s">
        <v>4</v>
      </c>
      <c r="D85" s="55">
        <f t="shared" si="13"/>
        <v>0.1</v>
      </c>
      <c r="E85" s="4">
        <v>10</v>
      </c>
      <c r="F85" s="4" t="s">
        <v>37</v>
      </c>
    </row>
    <row r="86" spans="2:9">
      <c r="B86" s="53" t="str">
        <f>B70</f>
        <v>Stacja ładowania pantografowego 400 kW</v>
      </c>
      <c r="C86" s="4" t="s">
        <v>4</v>
      </c>
      <c r="D86" s="55">
        <f t="shared" si="13"/>
        <v>0.1</v>
      </c>
      <c r="E86" s="4">
        <v>10</v>
      </c>
      <c r="F86" s="4" t="s">
        <v>37</v>
      </c>
    </row>
    <row r="87" spans="2:9">
      <c r="B87" s="53" t="str">
        <f>B71</f>
        <v>Stacja tankowania wodoru</v>
      </c>
      <c r="C87" s="4" t="s">
        <v>4</v>
      </c>
      <c r="D87" s="55">
        <f t="shared" ref="D87" si="14">100%/E87</f>
        <v>0.1</v>
      </c>
      <c r="E87" s="4">
        <v>10</v>
      </c>
      <c r="F87" s="4" t="s">
        <v>37</v>
      </c>
    </row>
    <row r="88" spans="2:9">
      <c r="B88" s="53"/>
      <c r="D88" s="55"/>
    </row>
    <row r="91" spans="2:9" ht="27" customHeight="1" thickBot="1">
      <c r="B91" s="48" t="s">
        <v>38</v>
      </c>
      <c r="C91" s="47" t="s">
        <v>25</v>
      </c>
      <c r="D91" s="47" t="s">
        <v>31</v>
      </c>
      <c r="E91" s="149" t="s">
        <v>39</v>
      </c>
      <c r="F91" s="149"/>
      <c r="G91" s="140" t="s">
        <v>40</v>
      </c>
      <c r="H91" s="140"/>
      <c r="I91" s="140"/>
    </row>
    <row r="92" spans="2:9" ht="6" customHeight="1" thickTop="1">
      <c r="B92" s="56"/>
      <c r="C92" s="56"/>
      <c r="D92" s="56"/>
      <c r="E92" s="56"/>
      <c r="F92" s="56"/>
    </row>
    <row r="93" spans="2:9">
      <c r="B93" s="45" t="s">
        <v>35</v>
      </c>
    </row>
    <row r="94" spans="2:9">
      <c r="B94" s="53" t="str">
        <f>B80</f>
        <v>Autobus ON</v>
      </c>
      <c r="C94" s="4" t="s">
        <v>4</v>
      </c>
      <c r="D94" s="58">
        <v>1</v>
      </c>
      <c r="E94" s="4" t="s">
        <v>42</v>
      </c>
      <c r="G94" s="4" t="s">
        <v>41</v>
      </c>
    </row>
    <row r="95" spans="2:9">
      <c r="B95" s="53" t="str">
        <f>B81</f>
        <v>Autobus EE</v>
      </c>
      <c r="C95" s="4" t="s">
        <v>4</v>
      </c>
      <c r="D95" s="58">
        <v>1</v>
      </c>
      <c r="E95" s="4" t="s">
        <v>42</v>
      </c>
      <c r="G95" s="4" t="s">
        <v>41</v>
      </c>
    </row>
    <row r="96" spans="2:9">
      <c r="B96" s="53" t="str">
        <f>B82</f>
        <v>Autobus H2</v>
      </c>
      <c r="C96" s="4" t="s">
        <v>4</v>
      </c>
      <c r="D96" s="58">
        <v>1</v>
      </c>
      <c r="E96" s="4" t="s">
        <v>42</v>
      </c>
      <c r="G96" s="4" t="s">
        <v>41</v>
      </c>
    </row>
    <row r="97" spans="2:12">
      <c r="B97" s="53"/>
      <c r="D97" s="58"/>
    </row>
    <row r="98" spans="2:12">
      <c r="B98" s="45" t="s">
        <v>32</v>
      </c>
      <c r="D98" s="58"/>
      <c r="G98" s="54"/>
    </row>
    <row r="99" spans="2:12">
      <c r="B99" s="53" t="str">
        <f>B85</f>
        <v>Ładowarka dwustanowiskowa typu pug-in</v>
      </c>
      <c r="C99" s="4" t="s">
        <v>4</v>
      </c>
      <c r="D99" s="58">
        <v>1</v>
      </c>
      <c r="E99" s="4" t="s">
        <v>42</v>
      </c>
      <c r="G99" s="4" t="s">
        <v>41</v>
      </c>
    </row>
    <row r="100" spans="2:12">
      <c r="B100" s="53" t="str">
        <f>B86</f>
        <v>Stacja ładowania pantografowego 400 kW</v>
      </c>
      <c r="C100" s="4" t="s">
        <v>4</v>
      </c>
      <c r="D100" s="58">
        <v>1</v>
      </c>
      <c r="E100" s="4" t="s">
        <v>42</v>
      </c>
      <c r="G100" s="4" t="s">
        <v>41</v>
      </c>
    </row>
    <row r="101" spans="2:12">
      <c r="B101" s="53" t="str">
        <f>B87</f>
        <v>Stacja tankowania wodoru</v>
      </c>
      <c r="D101" s="58">
        <v>1</v>
      </c>
      <c r="E101" s="4" t="s">
        <v>42</v>
      </c>
      <c r="G101" s="4" t="s">
        <v>41</v>
      </c>
    </row>
    <row r="102" spans="2:12">
      <c r="B102" s="53" t="s">
        <v>72</v>
      </c>
      <c r="C102" s="4" t="s">
        <v>4</v>
      </c>
      <c r="D102" s="58">
        <v>1</v>
      </c>
      <c r="G102" s="4" t="s">
        <v>73</v>
      </c>
    </row>
    <row r="104" spans="2:12" s="51" customFormat="1" ht="15.75">
      <c r="B104" s="59" t="s">
        <v>43</v>
      </c>
    </row>
    <row r="106" spans="2:12" ht="15.75" customHeight="1" thickBot="1">
      <c r="B106" s="48" t="s">
        <v>1</v>
      </c>
      <c r="C106" s="57" t="s">
        <v>25</v>
      </c>
      <c r="D106" s="57">
        <v>2021</v>
      </c>
      <c r="E106" s="57">
        <f>D106+1</f>
        <v>2022</v>
      </c>
      <c r="F106" s="57">
        <f t="shared" ref="F106:K106" si="15">E106+1</f>
        <v>2023</v>
      </c>
      <c r="G106" s="57">
        <f t="shared" si="15"/>
        <v>2024</v>
      </c>
      <c r="H106" s="57">
        <f t="shared" si="15"/>
        <v>2025</v>
      </c>
      <c r="I106" s="57">
        <f t="shared" si="15"/>
        <v>2026</v>
      </c>
      <c r="J106" s="57">
        <f t="shared" si="15"/>
        <v>2027</v>
      </c>
      <c r="K106" s="57">
        <f t="shared" si="15"/>
        <v>2028</v>
      </c>
    </row>
    <row r="107" spans="2:12" ht="6" customHeight="1" thickTop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2:12" ht="15.75" customHeight="1">
      <c r="B108" s="76" t="s">
        <v>44</v>
      </c>
      <c r="C108" s="63" t="s">
        <v>4</v>
      </c>
      <c r="D108" s="64">
        <v>0.05</v>
      </c>
      <c r="E108" s="64">
        <v>0.05</v>
      </c>
      <c r="F108" s="64">
        <v>0.1</v>
      </c>
      <c r="G108" s="64">
        <v>0.1</v>
      </c>
      <c r="H108" s="64">
        <v>0.2</v>
      </c>
      <c r="I108" s="64">
        <v>0.2</v>
      </c>
      <c r="J108" s="64">
        <v>0.2</v>
      </c>
      <c r="K108" s="64">
        <v>0.3</v>
      </c>
    </row>
    <row r="109" spans="2:12" ht="25.5">
      <c r="B109" s="77" t="s">
        <v>50</v>
      </c>
      <c r="C109" s="54" t="s">
        <v>46</v>
      </c>
      <c r="D109" s="54">
        <f>ROUNDUP(D108*$D$116,0)</f>
        <v>2</v>
      </c>
      <c r="E109" s="54">
        <f t="shared" ref="E109:K109" si="16">ROUNDUP(E108*$D$116,0)</f>
        <v>2</v>
      </c>
      <c r="F109" s="54">
        <f t="shared" si="16"/>
        <v>4</v>
      </c>
      <c r="G109" s="54">
        <f t="shared" si="16"/>
        <v>4</v>
      </c>
      <c r="H109" s="54">
        <f t="shared" si="16"/>
        <v>7</v>
      </c>
      <c r="I109" s="54">
        <f t="shared" si="16"/>
        <v>7</v>
      </c>
      <c r="J109" s="54">
        <f t="shared" si="16"/>
        <v>7</v>
      </c>
      <c r="K109" s="54">
        <f t="shared" si="16"/>
        <v>10</v>
      </c>
    </row>
    <row r="110" spans="2:12" ht="38.25">
      <c r="B110" s="77" t="s">
        <v>52</v>
      </c>
      <c r="C110" s="54" t="s">
        <v>46</v>
      </c>
      <c r="D110" s="70">
        <f>SUM(D118:D120)</f>
        <v>2</v>
      </c>
      <c r="E110" s="70">
        <f>D110</f>
        <v>2</v>
      </c>
      <c r="F110" s="70">
        <f t="shared" ref="F110:K110" si="17">E110</f>
        <v>2</v>
      </c>
      <c r="G110" s="70">
        <f t="shared" si="17"/>
        <v>2</v>
      </c>
      <c r="H110" s="70">
        <f t="shared" si="17"/>
        <v>2</v>
      </c>
      <c r="I110" s="70">
        <f t="shared" si="17"/>
        <v>2</v>
      </c>
      <c r="J110" s="70">
        <f t="shared" si="17"/>
        <v>2</v>
      </c>
      <c r="K110" s="70">
        <f t="shared" si="17"/>
        <v>2</v>
      </c>
    </row>
    <row r="111" spans="2:12">
      <c r="B111" s="4" t="s">
        <v>53</v>
      </c>
      <c r="C111" s="4" t="s">
        <v>46</v>
      </c>
      <c r="D111" s="67">
        <f>D109-D110</f>
        <v>0</v>
      </c>
      <c r="E111" s="67">
        <f>E109-E110-SUM($D$111:D111)</f>
        <v>0</v>
      </c>
      <c r="F111" s="67">
        <f>F109-F110-SUM($D$111:E111)</f>
        <v>2</v>
      </c>
      <c r="G111" s="67">
        <f>G109-G110-SUM($D$111:F111)</f>
        <v>0</v>
      </c>
      <c r="H111" s="67">
        <f>H109-H110-SUM($D$111:G111)</f>
        <v>3</v>
      </c>
      <c r="I111" s="67">
        <f>I109-I110-SUM($D$111:H111)</f>
        <v>0</v>
      </c>
      <c r="J111" s="67">
        <f>J109-J110-SUM($D$111:I111)</f>
        <v>0</v>
      </c>
      <c r="K111" s="67">
        <f>K109-K110-SUM($D$111:J111)</f>
        <v>3</v>
      </c>
      <c r="L111" s="67"/>
    </row>
    <row r="113" spans="2:21" ht="13.5" thickBot="1">
      <c r="B113" s="48" t="s">
        <v>1</v>
      </c>
      <c r="C113" s="61" t="s">
        <v>25</v>
      </c>
      <c r="D113" s="61">
        <v>2021</v>
      </c>
      <c r="E113" s="61">
        <f>D113+1</f>
        <v>2022</v>
      </c>
      <c r="F113" s="61">
        <f t="shared" ref="F113" si="18">E113+1</f>
        <v>2023</v>
      </c>
      <c r="G113" s="61">
        <f t="shared" ref="G113" si="19">F113+1</f>
        <v>2024</v>
      </c>
      <c r="H113" s="61">
        <f t="shared" ref="H113" si="20">G113+1</f>
        <v>2025</v>
      </c>
      <c r="I113" s="61">
        <f t="shared" ref="I113" si="21">H113+1</f>
        <v>2026</v>
      </c>
      <c r="J113" s="61">
        <f t="shared" ref="J113" si="22">I113+1</f>
        <v>2027</v>
      </c>
      <c r="K113" s="61">
        <f t="shared" ref="K113" si="23">J113+1</f>
        <v>2028</v>
      </c>
      <c r="L113" s="48">
        <f>K113+1</f>
        <v>2029</v>
      </c>
      <c r="M113" s="48">
        <f t="shared" ref="M113:S113" si="24">L113+1</f>
        <v>2030</v>
      </c>
      <c r="N113" s="48">
        <f t="shared" si="24"/>
        <v>2031</v>
      </c>
      <c r="O113" s="48">
        <f t="shared" si="24"/>
        <v>2032</v>
      </c>
      <c r="P113" s="48">
        <f t="shared" si="24"/>
        <v>2033</v>
      </c>
      <c r="Q113" s="48">
        <f t="shared" si="24"/>
        <v>2034</v>
      </c>
      <c r="R113" s="48">
        <f t="shared" si="24"/>
        <v>2035</v>
      </c>
      <c r="S113" s="48">
        <f t="shared" si="24"/>
        <v>2036</v>
      </c>
      <c r="T113" s="62"/>
      <c r="U113" s="62"/>
    </row>
    <row r="114" spans="2:21" ht="13.5" thickTop="1">
      <c r="B114" s="4" t="s">
        <v>74</v>
      </c>
      <c r="C114" s="4" t="s">
        <v>46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67">
        <f>F111</f>
        <v>2</v>
      </c>
      <c r="O114" s="4">
        <v>0</v>
      </c>
      <c r="P114" s="67">
        <f>H111</f>
        <v>3</v>
      </c>
      <c r="Q114" s="4">
        <v>0</v>
      </c>
      <c r="R114" s="4">
        <v>0</v>
      </c>
      <c r="S114" s="67">
        <f>K111</f>
        <v>3</v>
      </c>
      <c r="T114" s="56"/>
      <c r="U114" s="56"/>
    </row>
    <row r="115" spans="2:21">
      <c r="T115" s="56"/>
      <c r="U115" s="56"/>
    </row>
    <row r="116" spans="2:21" ht="13.5" thickBot="1">
      <c r="B116" s="66" t="s">
        <v>45</v>
      </c>
      <c r="C116" s="65" t="s">
        <v>46</v>
      </c>
      <c r="D116" s="68">
        <f>SUM(D117:D120)</f>
        <v>33</v>
      </c>
      <c r="E116" s="65" t="s">
        <v>49</v>
      </c>
    </row>
    <row r="117" spans="2:21" ht="13.5" thickTop="1">
      <c r="B117" s="4" t="s">
        <v>47</v>
      </c>
      <c r="C117" s="60"/>
      <c r="D117" s="69">
        <v>31</v>
      </c>
      <c r="E117" s="74">
        <f>ROUND(D117/$D$116,4)</f>
        <v>0.93940000000000001</v>
      </c>
    </row>
    <row r="118" spans="2:21">
      <c r="B118" s="4" t="s">
        <v>33</v>
      </c>
      <c r="C118" s="60"/>
      <c r="D118" s="69">
        <v>2</v>
      </c>
      <c r="E118" s="74">
        <f>ROUND(D118/$D$116,4)</f>
        <v>6.0600000000000001E-2</v>
      </c>
    </row>
    <row r="119" spans="2:21">
      <c r="B119" s="4" t="s">
        <v>34</v>
      </c>
      <c r="C119" s="60"/>
      <c r="D119" s="69">
        <v>0</v>
      </c>
      <c r="E119" s="74">
        <f>ROUND(D119/$D$116,4)</f>
        <v>0</v>
      </c>
    </row>
    <row r="120" spans="2:21">
      <c r="C120" s="60"/>
      <c r="D120" s="69"/>
      <c r="E120" s="74"/>
    </row>
    <row r="121" spans="2:21">
      <c r="B121" s="75" t="s">
        <v>51</v>
      </c>
      <c r="D121" s="70"/>
    </row>
    <row r="122" spans="2:21">
      <c r="D122" s="70"/>
    </row>
    <row r="123" spans="2:21" s="72" customFormat="1">
      <c r="B123" s="72" t="s">
        <v>48</v>
      </c>
      <c r="D123" s="73"/>
    </row>
    <row r="124" spans="2:21">
      <c r="D124" s="70"/>
    </row>
    <row r="125" spans="2:21" ht="13.5" thickBot="1">
      <c r="B125" s="48" t="s">
        <v>1</v>
      </c>
      <c r="C125" s="48" t="s">
        <v>25</v>
      </c>
      <c r="D125" s="57">
        <v>2021</v>
      </c>
      <c r="E125" s="57">
        <f>D125+1</f>
        <v>2022</v>
      </c>
      <c r="F125" s="57">
        <f t="shared" ref="F125" si="25">E125+1</f>
        <v>2023</v>
      </c>
      <c r="G125" s="57">
        <f t="shared" ref="G125" si="26">F125+1</f>
        <v>2024</v>
      </c>
      <c r="H125" s="57">
        <f t="shared" ref="H125" si="27">G125+1</f>
        <v>2025</v>
      </c>
      <c r="I125" s="57">
        <f t="shared" ref="I125" si="28">H125+1</f>
        <v>2026</v>
      </c>
      <c r="J125" s="57">
        <f t="shared" ref="J125" si="29">I125+1</f>
        <v>2027</v>
      </c>
      <c r="K125" s="57">
        <f t="shared" ref="K125" si="30">J125+1</f>
        <v>2028</v>
      </c>
    </row>
    <row r="126" spans="2:21" ht="13.5" thickTop="1">
      <c r="B126" s="4" t="str">
        <f>B59</f>
        <v>Autobus ON</v>
      </c>
      <c r="C126" s="4" t="s">
        <v>46</v>
      </c>
      <c r="D126" s="67">
        <f>D111</f>
        <v>0</v>
      </c>
      <c r="E126" s="67">
        <f>F111</f>
        <v>2</v>
      </c>
      <c r="F126" s="67">
        <f t="shared" ref="F126:K126" si="31">G111</f>
        <v>0</v>
      </c>
      <c r="G126" s="67">
        <f t="shared" si="31"/>
        <v>3</v>
      </c>
      <c r="H126" s="67">
        <f t="shared" si="31"/>
        <v>0</v>
      </c>
      <c r="I126" s="67">
        <f t="shared" si="31"/>
        <v>0</v>
      </c>
      <c r="J126" s="67">
        <f t="shared" si="31"/>
        <v>3</v>
      </c>
      <c r="K126" s="67">
        <f t="shared" si="31"/>
        <v>0</v>
      </c>
    </row>
    <row r="127" spans="2:21">
      <c r="B127" s="79" t="s">
        <v>54</v>
      </c>
      <c r="C127" s="79" t="s">
        <v>55</v>
      </c>
      <c r="D127" s="79">
        <f t="shared" ref="D127:K127" si="32">D126*(IFERROR(VLOOKUP($B$126,$B$59:$D$62,3,FALSE),0))</f>
        <v>0</v>
      </c>
      <c r="E127" s="79">
        <f t="shared" si="32"/>
        <v>2000</v>
      </c>
      <c r="F127" s="79">
        <f t="shared" si="32"/>
        <v>0</v>
      </c>
      <c r="G127" s="79">
        <f t="shared" si="32"/>
        <v>3000</v>
      </c>
      <c r="H127" s="79">
        <f t="shared" si="32"/>
        <v>0</v>
      </c>
      <c r="I127" s="79">
        <f t="shared" si="32"/>
        <v>0</v>
      </c>
      <c r="J127" s="79">
        <f t="shared" si="32"/>
        <v>3000</v>
      </c>
      <c r="K127" s="79">
        <f t="shared" si="32"/>
        <v>0</v>
      </c>
    </row>
    <row r="130" spans="2:11" s="72" customFormat="1">
      <c r="B130" s="72" t="s">
        <v>69</v>
      </c>
    </row>
    <row r="132" spans="2:11" ht="13.5" thickBot="1">
      <c r="B132" s="48" t="s">
        <v>1</v>
      </c>
      <c r="C132" s="48" t="s">
        <v>25</v>
      </c>
      <c r="D132" s="57">
        <v>2021</v>
      </c>
      <c r="E132" s="57">
        <f>D132+1</f>
        <v>2022</v>
      </c>
      <c r="F132" s="57">
        <f t="shared" ref="F132" si="33">E132+1</f>
        <v>2023</v>
      </c>
      <c r="G132" s="57">
        <f t="shared" ref="G132" si="34">F132+1</f>
        <v>2024</v>
      </c>
      <c r="H132" s="57">
        <f t="shared" ref="H132" si="35">G132+1</f>
        <v>2025</v>
      </c>
      <c r="I132" s="57">
        <f t="shared" ref="I132" si="36">H132+1</f>
        <v>2026</v>
      </c>
      <c r="J132" s="57">
        <f t="shared" ref="J132" si="37">I132+1</f>
        <v>2027</v>
      </c>
      <c r="K132" s="57">
        <f t="shared" ref="K132" si="38">J132+1</f>
        <v>2028</v>
      </c>
    </row>
    <row r="133" spans="2:11" ht="13.5" thickTop="1">
      <c r="B133" s="4" t="str">
        <f>B60</f>
        <v>Autobus EE</v>
      </c>
      <c r="C133" s="4" t="s">
        <v>46</v>
      </c>
      <c r="D133" s="67">
        <f>E111</f>
        <v>0</v>
      </c>
      <c r="E133" s="67">
        <f t="shared" ref="E133:K133" si="39">F111</f>
        <v>2</v>
      </c>
      <c r="F133" s="67">
        <f t="shared" si="39"/>
        <v>0</v>
      </c>
      <c r="G133" s="67">
        <f t="shared" si="39"/>
        <v>3</v>
      </c>
      <c r="H133" s="67">
        <f t="shared" si="39"/>
        <v>0</v>
      </c>
      <c r="I133" s="67">
        <f t="shared" si="39"/>
        <v>0</v>
      </c>
      <c r="J133" s="67">
        <f t="shared" si="39"/>
        <v>3</v>
      </c>
      <c r="K133" s="67">
        <f t="shared" si="39"/>
        <v>0</v>
      </c>
    </row>
    <row r="134" spans="2:11">
      <c r="B134" s="80" t="s">
        <v>54</v>
      </c>
      <c r="C134" s="80" t="s">
        <v>55</v>
      </c>
      <c r="D134" s="79">
        <f t="shared" ref="D134:K134" si="40">D133*(IFERROR(VLOOKUP($B$133,$B$59:$D$62,3,FALSE),0))</f>
        <v>0</v>
      </c>
      <c r="E134" s="79">
        <f t="shared" si="40"/>
        <v>5200</v>
      </c>
      <c r="F134" s="79">
        <f t="shared" si="40"/>
        <v>0</v>
      </c>
      <c r="G134" s="79">
        <f t="shared" si="40"/>
        <v>7800</v>
      </c>
      <c r="H134" s="79">
        <f t="shared" si="40"/>
        <v>0</v>
      </c>
      <c r="I134" s="79">
        <f t="shared" si="40"/>
        <v>0</v>
      </c>
      <c r="J134" s="79">
        <f t="shared" si="40"/>
        <v>7800</v>
      </c>
      <c r="K134" s="79">
        <f t="shared" si="40"/>
        <v>0</v>
      </c>
    </row>
    <row r="135" spans="2:11">
      <c r="B135" s="4" t="str">
        <f>B69</f>
        <v>Ładowarka dwustanowiskowa typu pug-in</v>
      </c>
      <c r="C135" s="4" t="s">
        <v>46</v>
      </c>
      <c r="D135" s="4">
        <f>ROUNDUP(D133/2,0)</f>
        <v>0</v>
      </c>
      <c r="E135" s="4">
        <f t="shared" ref="E135:K135" si="41">ROUNDUP(E133/2,0)</f>
        <v>1</v>
      </c>
      <c r="F135" s="4">
        <f t="shared" si="41"/>
        <v>0</v>
      </c>
      <c r="G135" s="4">
        <f t="shared" si="41"/>
        <v>2</v>
      </c>
      <c r="H135" s="4">
        <f t="shared" si="41"/>
        <v>0</v>
      </c>
      <c r="I135" s="4">
        <f t="shared" si="41"/>
        <v>0</v>
      </c>
      <c r="J135" s="4">
        <f t="shared" si="41"/>
        <v>2</v>
      </c>
      <c r="K135" s="4">
        <f t="shared" si="41"/>
        <v>0</v>
      </c>
    </row>
    <row r="136" spans="2:11">
      <c r="B136" s="4" t="str">
        <f>B70</f>
        <v>Stacja ładowania pantografowego 400 kW</v>
      </c>
      <c r="C136" s="4" t="s">
        <v>46</v>
      </c>
      <c r="D136" s="4">
        <v>0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>
      <c r="B137" s="80" t="s">
        <v>64</v>
      </c>
      <c r="C137" s="80" t="s">
        <v>55</v>
      </c>
      <c r="D137" s="79">
        <f t="shared" ref="D137:K137" si="42">(D135*(IFERROR(VLOOKUP($B$135,$B$69:$D$72,3,FALSE),0)))+(D136*(IFERROR(VLOOKUP($B$136,$B$69:$D$72,3,FALSE),0)))</f>
        <v>0</v>
      </c>
      <c r="E137" s="79">
        <f t="shared" si="42"/>
        <v>1660</v>
      </c>
      <c r="F137" s="79">
        <f t="shared" si="42"/>
        <v>0</v>
      </c>
      <c r="G137" s="79">
        <f t="shared" si="42"/>
        <v>320</v>
      </c>
      <c r="H137" s="79">
        <f t="shared" si="42"/>
        <v>0</v>
      </c>
      <c r="I137" s="79">
        <f t="shared" si="42"/>
        <v>0</v>
      </c>
      <c r="J137" s="79">
        <f t="shared" si="42"/>
        <v>320</v>
      </c>
      <c r="K137" s="79">
        <f t="shared" si="42"/>
        <v>0</v>
      </c>
    </row>
    <row r="138" spans="2:11">
      <c r="B138" s="81" t="s">
        <v>65</v>
      </c>
      <c r="C138" s="81" t="s">
        <v>55</v>
      </c>
      <c r="D138" s="82">
        <f>SUM(D134,D137)</f>
        <v>0</v>
      </c>
      <c r="E138" s="82">
        <f t="shared" ref="E138" si="43">SUM(E134,E137)</f>
        <v>6860</v>
      </c>
      <c r="F138" s="82">
        <f>SUM(F134,F137)</f>
        <v>0</v>
      </c>
      <c r="G138" s="82">
        <f t="shared" ref="G138" si="44">SUM(G134,G137)</f>
        <v>8120</v>
      </c>
      <c r="H138" s="82">
        <f t="shared" ref="H138" si="45">SUM(H134,H137)</f>
        <v>0</v>
      </c>
      <c r="I138" s="82">
        <f t="shared" ref="I138" si="46">SUM(I134,I137)</f>
        <v>0</v>
      </c>
      <c r="J138" s="82">
        <f t="shared" ref="J138" si="47">SUM(J134,J137)</f>
        <v>8120</v>
      </c>
      <c r="K138" s="82">
        <f t="shared" ref="K138" si="48">SUM(K134,K137)</f>
        <v>0</v>
      </c>
    </row>
    <row r="140" spans="2:11" s="72" customFormat="1">
      <c r="B140" s="72" t="s">
        <v>70</v>
      </c>
    </row>
    <row r="142" spans="2:11" ht="13.5" thickBot="1">
      <c r="B142" s="48" t="s">
        <v>1</v>
      </c>
      <c r="C142" s="48" t="s">
        <v>25</v>
      </c>
      <c r="D142" s="61">
        <v>2021</v>
      </c>
      <c r="E142" s="61">
        <f>D142+1</f>
        <v>2022</v>
      </c>
      <c r="F142" s="61">
        <f t="shared" ref="F142" si="49">E142+1</f>
        <v>2023</v>
      </c>
      <c r="G142" s="61">
        <f t="shared" ref="G142" si="50">F142+1</f>
        <v>2024</v>
      </c>
      <c r="H142" s="61">
        <f t="shared" ref="H142" si="51">G142+1</f>
        <v>2025</v>
      </c>
      <c r="I142" s="61">
        <f t="shared" ref="I142" si="52">H142+1</f>
        <v>2026</v>
      </c>
      <c r="J142" s="61">
        <f t="shared" ref="J142" si="53">I142+1</f>
        <v>2027</v>
      </c>
      <c r="K142" s="61">
        <f t="shared" ref="K142" si="54">J142+1</f>
        <v>2028</v>
      </c>
    </row>
    <row r="143" spans="2:11" ht="13.5" thickTop="1">
      <c r="B143" s="4" t="str">
        <f>B61</f>
        <v>Autobus H2</v>
      </c>
      <c r="C143" s="4" t="s">
        <v>46</v>
      </c>
      <c r="D143" s="67">
        <f>E111</f>
        <v>0</v>
      </c>
      <c r="E143" s="67">
        <f t="shared" ref="E143:K143" si="55">F111</f>
        <v>2</v>
      </c>
      <c r="F143" s="67">
        <f t="shared" si="55"/>
        <v>0</v>
      </c>
      <c r="G143" s="67">
        <f t="shared" si="55"/>
        <v>3</v>
      </c>
      <c r="H143" s="67">
        <f t="shared" si="55"/>
        <v>0</v>
      </c>
      <c r="I143" s="67">
        <f t="shared" si="55"/>
        <v>0</v>
      </c>
      <c r="J143" s="67">
        <f t="shared" si="55"/>
        <v>3</v>
      </c>
      <c r="K143" s="67">
        <f t="shared" si="55"/>
        <v>0</v>
      </c>
    </row>
    <row r="144" spans="2:11">
      <c r="B144" s="80" t="s">
        <v>54</v>
      </c>
      <c r="C144" s="80" t="s">
        <v>55</v>
      </c>
      <c r="D144" s="79">
        <f>D143*(IFERROR(VLOOKUP($B$143,$B$59:$D$62,3,FALSE),0))</f>
        <v>0</v>
      </c>
      <c r="E144" s="79">
        <f t="shared" ref="E144:K144" si="56">E143*(IFERROR(VLOOKUP($B$143,$B$59:$D$62,3,FALSE),0))</f>
        <v>7200</v>
      </c>
      <c r="F144" s="79">
        <f t="shared" si="56"/>
        <v>0</v>
      </c>
      <c r="G144" s="79">
        <f t="shared" si="56"/>
        <v>10800</v>
      </c>
      <c r="H144" s="79">
        <f t="shared" si="56"/>
        <v>0</v>
      </c>
      <c r="I144" s="79">
        <f t="shared" si="56"/>
        <v>0</v>
      </c>
      <c r="J144" s="79">
        <f t="shared" si="56"/>
        <v>10800</v>
      </c>
      <c r="K144" s="79">
        <f t="shared" si="56"/>
        <v>0</v>
      </c>
    </row>
    <row r="145" spans="2:19">
      <c r="B145" s="4" t="str">
        <f>B71</f>
        <v>Stacja tankowania wodoru</v>
      </c>
      <c r="C145" s="4" t="s">
        <v>46</v>
      </c>
      <c r="D145" s="4">
        <v>0</v>
      </c>
      <c r="E145" s="4">
        <v>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9">
      <c r="B146" s="80" t="s">
        <v>64</v>
      </c>
      <c r="C146" s="80" t="s">
        <v>55</v>
      </c>
      <c r="D146" s="79">
        <f>(D145*(IFERROR(VLOOKUP($B$145,$B$69:$D$71,3,FALSE),0)))</f>
        <v>0</v>
      </c>
      <c r="E146" s="79">
        <f t="shared" ref="E146:K146" si="57">(E145*(IFERROR(VLOOKUP($B$145,$B$69:$D$71,3,FALSE),0)))</f>
        <v>10000</v>
      </c>
      <c r="F146" s="79">
        <f t="shared" si="57"/>
        <v>0</v>
      </c>
      <c r="G146" s="79">
        <f t="shared" si="57"/>
        <v>0</v>
      </c>
      <c r="H146" s="79">
        <f t="shared" si="57"/>
        <v>0</v>
      </c>
      <c r="I146" s="79">
        <f t="shared" si="57"/>
        <v>0</v>
      </c>
      <c r="J146" s="79">
        <f t="shared" si="57"/>
        <v>0</v>
      </c>
      <c r="K146" s="79">
        <f t="shared" si="57"/>
        <v>0</v>
      </c>
    </row>
    <row r="147" spans="2:19">
      <c r="B147" s="81" t="s">
        <v>65</v>
      </c>
      <c r="C147" s="81" t="s">
        <v>55</v>
      </c>
      <c r="D147" s="82">
        <f t="shared" ref="D147:K147" si="58">SUM(D144,D146)</f>
        <v>0</v>
      </c>
      <c r="E147" s="82">
        <f t="shared" si="58"/>
        <v>17200</v>
      </c>
      <c r="F147" s="82">
        <f t="shared" si="58"/>
        <v>0</v>
      </c>
      <c r="G147" s="82">
        <f t="shared" si="58"/>
        <v>10800</v>
      </c>
      <c r="H147" s="82">
        <f t="shared" si="58"/>
        <v>0</v>
      </c>
      <c r="I147" s="82">
        <f t="shared" si="58"/>
        <v>0</v>
      </c>
      <c r="J147" s="82">
        <f t="shared" si="58"/>
        <v>10800</v>
      </c>
      <c r="K147" s="82">
        <f t="shared" si="58"/>
        <v>0</v>
      </c>
    </row>
    <row r="149" spans="2:19" s="83" customFormat="1" ht="18.75">
      <c r="B149" s="3" t="s">
        <v>67</v>
      </c>
    </row>
    <row r="152" spans="2:19">
      <c r="B152" s="45" t="s">
        <v>75</v>
      </c>
    </row>
    <row r="154" spans="2:19" ht="13.5" thickBot="1">
      <c r="B154" s="48" t="s">
        <v>1</v>
      </c>
      <c r="C154" s="48" t="s">
        <v>25</v>
      </c>
      <c r="D154" s="61">
        <v>2021</v>
      </c>
      <c r="E154" s="61">
        <f>D154+1</f>
        <v>2022</v>
      </c>
      <c r="F154" s="61">
        <f t="shared" ref="F154" si="59">E154+1</f>
        <v>2023</v>
      </c>
      <c r="G154" s="61">
        <f t="shared" ref="G154" si="60">F154+1</f>
        <v>2024</v>
      </c>
      <c r="H154" s="61">
        <f t="shared" ref="H154" si="61">G154+1</f>
        <v>2025</v>
      </c>
      <c r="I154" s="61">
        <f t="shared" ref="I154" si="62">H154+1</f>
        <v>2026</v>
      </c>
      <c r="J154" s="61">
        <f t="shared" ref="J154" si="63">I154+1</f>
        <v>2027</v>
      </c>
      <c r="K154" s="61">
        <f t="shared" ref="K154" si="64">J154+1</f>
        <v>2028</v>
      </c>
      <c r="L154" s="61">
        <f t="shared" ref="L154" si="65">K154+1</f>
        <v>2029</v>
      </c>
      <c r="M154" s="61">
        <f t="shared" ref="M154" si="66">L154+1</f>
        <v>2030</v>
      </c>
      <c r="N154" s="61">
        <f t="shared" ref="N154" si="67">M154+1</f>
        <v>2031</v>
      </c>
      <c r="O154" s="61">
        <f t="shared" ref="O154" si="68">N154+1</f>
        <v>2032</v>
      </c>
      <c r="P154" s="61">
        <f t="shared" ref="P154" si="69">O154+1</f>
        <v>2033</v>
      </c>
      <c r="Q154" s="61">
        <f t="shared" ref="Q154" si="70">P154+1</f>
        <v>2034</v>
      </c>
      <c r="R154" s="61">
        <f t="shared" ref="R154" si="71">Q154+1</f>
        <v>2035</v>
      </c>
      <c r="S154" s="61">
        <f t="shared" ref="S154" si="72">R154+1</f>
        <v>2036</v>
      </c>
    </row>
    <row r="155" spans="2:19" ht="13.5" thickTop="1">
      <c r="B155" s="4" t="s">
        <v>76</v>
      </c>
      <c r="C155" s="4" t="s">
        <v>77</v>
      </c>
      <c r="D155" s="78">
        <v>1268370</v>
      </c>
      <c r="E155" s="78">
        <f>D155</f>
        <v>1268370</v>
      </c>
      <c r="F155" s="78">
        <f t="shared" ref="F155:S155" si="73">E155</f>
        <v>1268370</v>
      </c>
      <c r="G155" s="78">
        <f t="shared" si="73"/>
        <v>1268370</v>
      </c>
      <c r="H155" s="78">
        <f t="shared" si="73"/>
        <v>1268370</v>
      </c>
      <c r="I155" s="78">
        <f t="shared" si="73"/>
        <v>1268370</v>
      </c>
      <c r="J155" s="78">
        <f t="shared" si="73"/>
        <v>1268370</v>
      </c>
      <c r="K155" s="78">
        <f t="shared" si="73"/>
        <v>1268370</v>
      </c>
      <c r="L155" s="78">
        <f t="shared" si="73"/>
        <v>1268370</v>
      </c>
      <c r="M155" s="78">
        <f t="shared" si="73"/>
        <v>1268370</v>
      </c>
      <c r="N155" s="78">
        <f t="shared" si="73"/>
        <v>1268370</v>
      </c>
      <c r="O155" s="78">
        <f t="shared" si="73"/>
        <v>1268370</v>
      </c>
      <c r="P155" s="78">
        <f t="shared" si="73"/>
        <v>1268370</v>
      </c>
      <c r="Q155" s="78">
        <f t="shared" si="73"/>
        <v>1268370</v>
      </c>
      <c r="R155" s="78">
        <f t="shared" si="73"/>
        <v>1268370</v>
      </c>
      <c r="S155" s="78">
        <f t="shared" si="73"/>
        <v>1268370</v>
      </c>
    </row>
    <row r="156" spans="2:19">
      <c r="B156" s="4" t="s">
        <v>78</v>
      </c>
      <c r="C156" s="4" t="s">
        <v>4</v>
      </c>
      <c r="D156" s="89">
        <f>(D109-D110)/$D$117</f>
        <v>0</v>
      </c>
      <c r="E156" s="89">
        <f t="shared" ref="E156:K156" si="74">(E109-E110)/$D$117</f>
        <v>0</v>
      </c>
      <c r="F156" s="89">
        <f t="shared" si="74"/>
        <v>6.4516129032258063E-2</v>
      </c>
      <c r="G156" s="89">
        <f t="shared" si="74"/>
        <v>6.4516129032258063E-2</v>
      </c>
      <c r="H156" s="89">
        <f t="shared" si="74"/>
        <v>0.16129032258064516</v>
      </c>
      <c r="I156" s="89">
        <f t="shared" si="74"/>
        <v>0.16129032258064516</v>
      </c>
      <c r="J156" s="89">
        <f t="shared" si="74"/>
        <v>0.16129032258064516</v>
      </c>
      <c r="K156" s="89">
        <f t="shared" si="74"/>
        <v>0.25806451612903225</v>
      </c>
      <c r="L156" s="89">
        <f>K156</f>
        <v>0.25806451612903225</v>
      </c>
      <c r="M156" s="89">
        <f t="shared" ref="M156:S156" si="75">L156</f>
        <v>0.25806451612903225</v>
      </c>
      <c r="N156" s="89">
        <f t="shared" si="75"/>
        <v>0.25806451612903225</v>
      </c>
      <c r="O156" s="89">
        <f t="shared" si="75"/>
        <v>0.25806451612903225</v>
      </c>
      <c r="P156" s="89">
        <f t="shared" si="75"/>
        <v>0.25806451612903225</v>
      </c>
      <c r="Q156" s="89">
        <f t="shared" si="75"/>
        <v>0.25806451612903225</v>
      </c>
      <c r="R156" s="89">
        <f t="shared" si="75"/>
        <v>0.25806451612903225</v>
      </c>
      <c r="S156" s="89">
        <f t="shared" si="75"/>
        <v>0.25806451612903225</v>
      </c>
    </row>
    <row r="157" spans="2:19" ht="18" customHeight="1">
      <c r="B157" s="81" t="s">
        <v>79</v>
      </c>
      <c r="C157" s="81" t="s">
        <v>77</v>
      </c>
      <c r="D157" s="90">
        <f>PRODUCT(D155,D156)</f>
        <v>0</v>
      </c>
      <c r="E157" s="90">
        <f t="shared" ref="E157:S157" si="76">PRODUCT(E155,E156)</f>
        <v>0</v>
      </c>
      <c r="F157" s="90">
        <f t="shared" si="76"/>
        <v>81830.322580645152</v>
      </c>
      <c r="G157" s="90">
        <f t="shared" si="76"/>
        <v>81830.322580645152</v>
      </c>
      <c r="H157" s="90">
        <f t="shared" si="76"/>
        <v>204575.80645161291</v>
      </c>
      <c r="I157" s="90">
        <f t="shared" si="76"/>
        <v>204575.80645161291</v>
      </c>
      <c r="J157" s="90">
        <f t="shared" si="76"/>
        <v>204575.80645161291</v>
      </c>
      <c r="K157" s="90">
        <f t="shared" si="76"/>
        <v>327321.29032258061</v>
      </c>
      <c r="L157" s="90">
        <f t="shared" si="76"/>
        <v>327321.29032258061</v>
      </c>
      <c r="M157" s="90">
        <f t="shared" si="76"/>
        <v>327321.29032258061</v>
      </c>
      <c r="N157" s="90">
        <f t="shared" si="76"/>
        <v>327321.29032258061</v>
      </c>
      <c r="O157" s="90">
        <f t="shared" si="76"/>
        <v>327321.29032258061</v>
      </c>
      <c r="P157" s="90">
        <f t="shared" si="76"/>
        <v>327321.29032258061</v>
      </c>
      <c r="Q157" s="90">
        <f t="shared" si="76"/>
        <v>327321.29032258061</v>
      </c>
      <c r="R157" s="90">
        <f t="shared" si="76"/>
        <v>327321.29032258061</v>
      </c>
      <c r="S157" s="90">
        <f t="shared" si="76"/>
        <v>327321.29032258061</v>
      </c>
    </row>
    <row r="161" spans="2:8" s="83" customFormat="1" ht="18.75">
      <c r="B161" s="3" t="s">
        <v>80</v>
      </c>
    </row>
    <row r="162" spans="2:8">
      <c r="B162" s="4" t="s">
        <v>81</v>
      </c>
    </row>
    <row r="164" spans="2:8" ht="13.5" thickBot="1">
      <c r="B164" s="66" t="s">
        <v>83</v>
      </c>
      <c r="C164" s="66"/>
      <c r="D164" s="66"/>
    </row>
    <row r="165" spans="2:8" ht="13.5" thickTop="1">
      <c r="B165" s="4" t="s">
        <v>84</v>
      </c>
      <c r="C165" s="4" t="s">
        <v>91</v>
      </c>
      <c r="D165" s="4">
        <v>4.47</v>
      </c>
    </row>
    <row r="166" spans="2:8">
      <c r="B166" s="4" t="s">
        <v>85</v>
      </c>
      <c r="C166" s="4" t="s">
        <v>87</v>
      </c>
      <c r="D166" s="4">
        <v>0.78</v>
      </c>
      <c r="E166" s="4" t="s">
        <v>92</v>
      </c>
    </row>
    <row r="167" spans="2:8">
      <c r="B167" s="4" t="s">
        <v>86</v>
      </c>
      <c r="C167" s="4" t="s">
        <v>88</v>
      </c>
      <c r="D167" s="4">
        <f>D168*D26</f>
        <v>35.543999999999997</v>
      </c>
    </row>
    <row r="168" spans="2:8">
      <c r="C168" s="4" t="s">
        <v>89</v>
      </c>
      <c r="D168" s="4">
        <v>8</v>
      </c>
      <c r="E168" s="4" t="s">
        <v>90</v>
      </c>
    </row>
    <row r="170" spans="2:8">
      <c r="B170" s="145" t="s">
        <v>1</v>
      </c>
      <c r="C170" s="145" t="s">
        <v>103</v>
      </c>
      <c r="D170" s="145"/>
      <c r="E170" s="145" t="s">
        <v>104</v>
      </c>
      <c r="F170" s="145"/>
      <c r="G170" s="145" t="s">
        <v>105</v>
      </c>
      <c r="H170" s="145"/>
    </row>
    <row r="171" spans="2:8" ht="13.5" thickBot="1">
      <c r="B171" s="140"/>
      <c r="C171" s="140" t="s">
        <v>106</v>
      </c>
      <c r="D171" s="140"/>
      <c r="E171" s="140"/>
      <c r="F171" s="140"/>
      <c r="G171" s="140"/>
      <c r="H171" s="140"/>
    </row>
    <row r="172" spans="2:8" ht="13.5" thickTop="1">
      <c r="B172" s="137" t="s">
        <v>93</v>
      </c>
      <c r="C172" s="146">
        <f>PRODUCT(C174,C176)+C177</f>
        <v>1.6475</v>
      </c>
      <c r="D172" s="146"/>
      <c r="E172" s="146">
        <f t="shared" ref="E172" si="77">PRODUCT(E174,E176)+E177</f>
        <v>1.3802000000000001</v>
      </c>
      <c r="F172" s="146"/>
      <c r="G172" s="146">
        <f t="shared" ref="G172" si="78">PRODUCT(G174,G176)+G177</f>
        <v>3.7289599999999998</v>
      </c>
      <c r="H172" s="146"/>
    </row>
    <row r="173" spans="2:8">
      <c r="B173" s="147" t="s">
        <v>94</v>
      </c>
      <c r="C173" s="143" t="s">
        <v>107</v>
      </c>
      <c r="D173" s="143"/>
      <c r="E173" s="143" t="s">
        <v>108</v>
      </c>
      <c r="F173" s="143"/>
      <c r="G173" s="143" t="s">
        <v>109</v>
      </c>
      <c r="H173" s="143"/>
    </row>
    <row r="174" spans="2:8">
      <c r="B174" s="147"/>
      <c r="C174" s="143">
        <v>0.25</v>
      </c>
      <c r="D174" s="143"/>
      <c r="E174" s="143">
        <v>1.0900000000000001</v>
      </c>
      <c r="F174" s="143"/>
      <c r="G174" s="143">
        <v>0.09</v>
      </c>
      <c r="H174" s="143"/>
    </row>
    <row r="175" spans="2:8">
      <c r="B175" s="147" t="s">
        <v>95</v>
      </c>
      <c r="C175" s="143" t="s">
        <v>110</v>
      </c>
      <c r="D175" s="143"/>
      <c r="E175" s="143" t="s">
        <v>87</v>
      </c>
      <c r="F175" s="143"/>
      <c r="G175" s="143" t="s">
        <v>88</v>
      </c>
      <c r="H175" s="143"/>
    </row>
    <row r="176" spans="2:8">
      <c r="B176" s="147"/>
      <c r="C176" s="143">
        <f>D165</f>
        <v>4.47</v>
      </c>
      <c r="D176" s="143"/>
      <c r="E176" s="143">
        <f>D166</f>
        <v>0.78</v>
      </c>
      <c r="F176" s="143"/>
      <c r="G176" s="143">
        <f>D167</f>
        <v>35.543999999999997</v>
      </c>
      <c r="H176" s="143"/>
    </row>
    <row r="177" spans="2:8">
      <c r="B177" s="138" t="s">
        <v>96</v>
      </c>
      <c r="C177" s="143">
        <f>1.52-0.99</f>
        <v>0.53</v>
      </c>
      <c r="D177" s="143"/>
      <c r="E177" s="143">
        <f t="shared" ref="E177" si="79">1.52-0.99</f>
        <v>0.53</v>
      </c>
      <c r="F177" s="143"/>
      <c r="G177" s="143">
        <f t="shared" ref="G177" si="80">1.52-0.99</f>
        <v>0.53</v>
      </c>
      <c r="H177" s="143"/>
    </row>
    <row r="178" spans="2:8">
      <c r="B178" s="137" t="s">
        <v>97</v>
      </c>
      <c r="C178" s="144">
        <v>0.24</v>
      </c>
      <c r="D178" s="144"/>
      <c r="E178" s="144">
        <v>0.24</v>
      </c>
      <c r="F178" s="144"/>
      <c r="G178" s="144">
        <v>0.24</v>
      </c>
      <c r="H178" s="144"/>
    </row>
    <row r="179" spans="2:8">
      <c r="B179" s="137" t="s">
        <v>98</v>
      </c>
      <c r="C179" s="144">
        <v>0.21</v>
      </c>
      <c r="D179" s="144"/>
      <c r="E179" s="144">
        <v>0.21</v>
      </c>
      <c r="F179" s="144"/>
      <c r="G179" s="144">
        <v>0.21</v>
      </c>
      <c r="H179" s="144"/>
    </row>
    <row r="180" spans="2:8">
      <c r="B180" s="137" t="s">
        <v>99</v>
      </c>
      <c r="C180" s="144">
        <v>3.28</v>
      </c>
      <c r="D180" s="144"/>
      <c r="E180" s="144">
        <v>3.28</v>
      </c>
      <c r="F180" s="144"/>
      <c r="G180" s="144">
        <v>3.28</v>
      </c>
      <c r="H180" s="144"/>
    </row>
    <row r="181" spans="2:8">
      <c r="B181" s="137" t="s">
        <v>100</v>
      </c>
      <c r="C181" s="144">
        <v>0.8</v>
      </c>
      <c r="D181" s="144"/>
      <c r="E181" s="144">
        <v>0.8</v>
      </c>
      <c r="F181" s="144"/>
      <c r="G181" s="144">
        <v>0.8</v>
      </c>
      <c r="H181" s="144"/>
    </row>
    <row r="182" spans="2:8">
      <c r="B182" s="137" t="s">
        <v>101</v>
      </c>
      <c r="C182" s="144">
        <f>0.01+0+0.12+0.02</f>
        <v>0.15</v>
      </c>
      <c r="D182" s="144"/>
      <c r="E182" s="144">
        <f>0.01+0+0.12+0.02</f>
        <v>0.15</v>
      </c>
      <c r="F182" s="144"/>
      <c r="G182" s="144">
        <f>0.01+0+0.12+0.02</f>
        <v>0.15</v>
      </c>
      <c r="H182" s="144"/>
    </row>
    <row r="183" spans="2:8">
      <c r="B183" s="139" t="s">
        <v>102</v>
      </c>
      <c r="C183" s="142">
        <f>SUM(C172,C178:D182)</f>
        <v>6.3274999999999997</v>
      </c>
      <c r="D183" s="142"/>
      <c r="E183" s="142">
        <f t="shared" ref="E183" si="81">SUM(E172,E178:F182)</f>
        <v>6.0602</v>
      </c>
      <c r="F183" s="142"/>
      <c r="G183" s="142">
        <f t="shared" ref="G183" si="82">SUM(G172,G178:H182)</f>
        <v>8.4089600000000004</v>
      </c>
      <c r="H183" s="142"/>
    </row>
    <row r="186" spans="2:8" s="83" customFormat="1" ht="18.75">
      <c r="B186" s="3" t="s">
        <v>111</v>
      </c>
    </row>
    <row r="188" spans="2:8" ht="13.5" thickBot="1">
      <c r="B188" s="48" t="s">
        <v>1</v>
      </c>
      <c r="C188" s="48" t="s">
        <v>25</v>
      </c>
      <c r="D188" s="48" t="s">
        <v>112</v>
      </c>
    </row>
    <row r="189" spans="2:8" ht="13.5" thickTop="1">
      <c r="B189" s="4" t="s">
        <v>113</v>
      </c>
      <c r="C189" s="54" t="s">
        <v>4</v>
      </c>
      <c r="D189" s="89">
        <v>4.4999999999999998E-2</v>
      </c>
      <c r="E189" s="4" t="s">
        <v>115</v>
      </c>
    </row>
    <row r="190" spans="2:8">
      <c r="B190" s="4" t="s">
        <v>114</v>
      </c>
      <c r="C190" s="54" t="s">
        <v>4</v>
      </c>
      <c r="D190" s="89">
        <v>0.04</v>
      </c>
      <c r="E190" s="4" t="s">
        <v>116</v>
      </c>
    </row>
    <row r="195" spans="2:10" s="72" customFormat="1">
      <c r="B195" s="72" t="s">
        <v>142</v>
      </c>
    </row>
    <row r="197" spans="2:10">
      <c r="B197" s="4" t="s">
        <v>117</v>
      </c>
      <c r="C197" s="4" t="s">
        <v>118</v>
      </c>
      <c r="D197" s="4">
        <v>43</v>
      </c>
    </row>
    <row r="198" spans="2:10">
      <c r="B198" s="4" t="s">
        <v>119</v>
      </c>
      <c r="C198" s="4" t="s">
        <v>120</v>
      </c>
      <c r="D198" s="4">
        <v>74.099999999999994</v>
      </c>
      <c r="E198" s="4" t="s">
        <v>121</v>
      </c>
    </row>
    <row r="199" spans="2:10">
      <c r="B199" s="4" t="s">
        <v>119</v>
      </c>
      <c r="C199" s="4" t="s">
        <v>122</v>
      </c>
      <c r="D199" s="4">
        <f>D197*D198/1000</f>
        <v>3.1862999999999997</v>
      </c>
    </row>
    <row r="200" spans="2:10">
      <c r="B200" s="4" t="s">
        <v>123</v>
      </c>
      <c r="C200" s="4" t="s">
        <v>124</v>
      </c>
      <c r="D200" s="4">
        <v>0.84379999999999999</v>
      </c>
    </row>
    <row r="201" spans="2:10">
      <c r="B201" s="4" t="s">
        <v>119</v>
      </c>
      <c r="C201" s="4" t="s">
        <v>125</v>
      </c>
      <c r="D201" s="91">
        <f>D199*D200</f>
        <v>2.6885999399999996</v>
      </c>
    </row>
    <row r="202" spans="2:10">
      <c r="B202" s="4" t="s">
        <v>126</v>
      </c>
      <c r="C202" s="4" t="s">
        <v>127</v>
      </c>
      <c r="D202" s="4">
        <v>0.80600000000000005</v>
      </c>
      <c r="E202" s="4" t="s">
        <v>121</v>
      </c>
      <c r="G202" s="4">
        <v>1</v>
      </c>
      <c r="H202" s="4" t="s">
        <v>128</v>
      </c>
      <c r="I202" s="4">
        <v>1000</v>
      </c>
      <c r="J202" s="4" t="s">
        <v>129</v>
      </c>
    </row>
    <row r="203" spans="2:10">
      <c r="C203" s="4" t="s">
        <v>130</v>
      </c>
      <c r="D203" s="4">
        <f>D202/I202</f>
        <v>8.0600000000000008E-4</v>
      </c>
    </row>
    <row r="204" spans="2:10" s="72" customFormat="1">
      <c r="B204" s="72" t="s">
        <v>131</v>
      </c>
    </row>
    <row r="206" spans="2:10">
      <c r="B206" s="4" t="s">
        <v>132</v>
      </c>
      <c r="C206" s="4" t="s">
        <v>133</v>
      </c>
    </row>
    <row r="207" spans="2:10" ht="13.5" thickBot="1">
      <c r="B207" s="140" t="s">
        <v>1</v>
      </c>
      <c r="C207" s="93" t="s">
        <v>134</v>
      </c>
      <c r="D207" s="93" t="s">
        <v>135</v>
      </c>
      <c r="E207" s="93" t="s">
        <v>136</v>
      </c>
      <c r="F207" s="93" t="s">
        <v>137</v>
      </c>
    </row>
    <row r="208" spans="2:10" ht="14.25" thickTop="1" thickBot="1">
      <c r="B208" s="140"/>
      <c r="C208" s="141" t="s">
        <v>138</v>
      </c>
      <c r="D208" s="141"/>
      <c r="E208" s="141"/>
      <c r="F208" s="141"/>
    </row>
    <row r="209" spans="2:28" ht="13.5" thickTop="1">
      <c r="B209" s="4" t="s">
        <v>139</v>
      </c>
      <c r="C209" s="91">
        <v>0.58499999999999996</v>
      </c>
      <c r="D209" s="91">
        <v>1.8</v>
      </c>
      <c r="E209" s="91">
        <v>0</v>
      </c>
      <c r="F209" s="91">
        <v>4.4999999999999998E-2</v>
      </c>
    </row>
    <row r="210" spans="2:28">
      <c r="B210" s="4" t="s">
        <v>140</v>
      </c>
      <c r="C210" s="91">
        <v>6.0479999999999987E-3</v>
      </c>
      <c r="D210" s="91">
        <v>1.3089599999999999</v>
      </c>
      <c r="E210" s="91">
        <v>3.152736</v>
      </c>
      <c r="F210" s="91">
        <v>3.5855999999999999E-2</v>
      </c>
    </row>
    <row r="211" spans="2:28">
      <c r="B211" s="4" t="s">
        <v>249</v>
      </c>
      <c r="C211" s="54" t="s">
        <v>248</v>
      </c>
      <c r="D211" s="54" t="s">
        <v>248</v>
      </c>
      <c r="E211" s="54" t="s">
        <v>248</v>
      </c>
      <c r="F211" s="54" t="s">
        <v>248</v>
      </c>
    </row>
    <row r="212" spans="2:28">
      <c r="C212" s="54"/>
      <c r="D212" s="54"/>
      <c r="E212" s="54"/>
      <c r="F212" s="54"/>
    </row>
    <row r="214" spans="2:28" s="72" customFormat="1">
      <c r="B214" s="72" t="s">
        <v>141</v>
      </c>
    </row>
    <row r="215" spans="2:28">
      <c r="B215" s="4" t="s">
        <v>143</v>
      </c>
    </row>
    <row r="217" spans="2:28" s="94" customFormat="1">
      <c r="B217" s="94" t="s">
        <v>144</v>
      </c>
    </row>
    <row r="219" spans="2:28">
      <c r="B219" s="4" t="s">
        <v>145</v>
      </c>
    </row>
    <row r="220" spans="2:28" ht="13.5" thickBot="1">
      <c r="B220" s="48" t="s">
        <v>1</v>
      </c>
      <c r="C220" s="48" t="s">
        <v>25</v>
      </c>
      <c r="D220" s="48">
        <v>2021</v>
      </c>
      <c r="E220" s="48">
        <v>2022</v>
      </c>
      <c r="F220" s="48">
        <v>2023</v>
      </c>
      <c r="G220" s="48">
        <v>2024</v>
      </c>
      <c r="H220" s="48">
        <v>2025</v>
      </c>
      <c r="I220" s="48">
        <v>2026</v>
      </c>
      <c r="J220" s="48">
        <v>2027</v>
      </c>
      <c r="K220" s="48">
        <v>2028</v>
      </c>
      <c r="L220" s="48">
        <v>2029</v>
      </c>
      <c r="M220" s="48">
        <v>2030</v>
      </c>
      <c r="N220" s="48">
        <v>2031</v>
      </c>
      <c r="O220" s="48">
        <v>2032</v>
      </c>
      <c r="P220" s="48">
        <v>2033</v>
      </c>
      <c r="Q220" s="48">
        <v>2034</v>
      </c>
      <c r="R220" s="48">
        <v>2035</v>
      </c>
      <c r="S220" s="48">
        <v>2036</v>
      </c>
      <c r="T220" s="48">
        <v>2037</v>
      </c>
      <c r="U220" s="48">
        <v>2038</v>
      </c>
      <c r="V220" s="48">
        <v>2039</v>
      </c>
      <c r="W220" s="48">
        <v>2040</v>
      </c>
      <c r="X220" s="48">
        <v>2041</v>
      </c>
      <c r="Y220" s="48">
        <v>2042</v>
      </c>
      <c r="Z220" s="48">
        <v>2043</v>
      </c>
      <c r="AA220" s="48">
        <v>2044</v>
      </c>
      <c r="AB220" s="48">
        <v>2045</v>
      </c>
    </row>
    <row r="221" spans="2:28" ht="13.5" thickTop="1">
      <c r="B221" s="4" t="s">
        <v>146</v>
      </c>
      <c r="C221" s="4" t="s">
        <v>147</v>
      </c>
      <c r="D221" s="92">
        <v>193.99603259837247</v>
      </c>
      <c r="E221" s="92">
        <v>199.38481128166063</v>
      </c>
      <c r="F221" s="92">
        <v>204.77358996494871</v>
      </c>
      <c r="G221" s="92">
        <v>210.16236864823688</v>
      </c>
      <c r="H221" s="92">
        <v>215.55114733152499</v>
      </c>
      <c r="I221" s="92">
        <v>220.93992601481312</v>
      </c>
      <c r="J221" s="92">
        <v>226.32870469810123</v>
      </c>
      <c r="K221" s="92">
        <v>231.71748338138934</v>
      </c>
      <c r="L221" s="92">
        <v>237.10626206467751</v>
      </c>
      <c r="M221" s="92">
        <v>242.49504074796559</v>
      </c>
      <c r="N221" s="92">
        <v>247.88381943125376</v>
      </c>
      <c r="O221" s="92">
        <v>253.27259811454186</v>
      </c>
      <c r="P221" s="92">
        <v>258.66137679782997</v>
      </c>
      <c r="Q221" s="92">
        <v>264.05015548111811</v>
      </c>
      <c r="R221" s="92">
        <v>269.43893416440625</v>
      </c>
      <c r="S221" s="92">
        <v>274.82771284769433</v>
      </c>
      <c r="T221" s="92">
        <v>280.21649153098247</v>
      </c>
      <c r="U221" s="92">
        <v>285.6052702142706</v>
      </c>
      <c r="V221" s="92">
        <v>290.99404889755874</v>
      </c>
      <c r="W221" s="92">
        <v>296.38282758084688</v>
      </c>
      <c r="X221" s="92">
        <v>301.77160626413502</v>
      </c>
      <c r="Y221" s="92">
        <v>307.1603849474231</v>
      </c>
      <c r="Z221" s="92">
        <v>312.54916363071118</v>
      </c>
      <c r="AA221" s="92">
        <v>317.93794231399937</v>
      </c>
      <c r="AB221" s="92">
        <v>323.32672099728751</v>
      </c>
    </row>
    <row r="223" spans="2:28" s="94" customFormat="1">
      <c r="B223" s="94" t="s">
        <v>148</v>
      </c>
    </row>
    <row r="225" spans="2:28">
      <c r="B225" s="4" t="s">
        <v>149</v>
      </c>
    </row>
    <row r="226" spans="2:28" ht="13.5" thickBot="1">
      <c r="B226" s="48" t="s">
        <v>1</v>
      </c>
      <c r="C226" s="48" t="s">
        <v>25</v>
      </c>
      <c r="D226" s="48">
        <v>2021</v>
      </c>
      <c r="E226" s="48">
        <v>2022</v>
      </c>
      <c r="F226" s="48">
        <v>2023</v>
      </c>
      <c r="G226" s="48">
        <v>2024</v>
      </c>
      <c r="H226" s="48">
        <v>2025</v>
      </c>
      <c r="I226" s="48">
        <v>2026</v>
      </c>
      <c r="J226" s="48">
        <v>2027</v>
      </c>
      <c r="K226" s="48">
        <v>2028</v>
      </c>
      <c r="L226" s="48">
        <v>2029</v>
      </c>
      <c r="M226" s="48">
        <v>2030</v>
      </c>
      <c r="N226" s="48">
        <v>2031</v>
      </c>
      <c r="O226" s="48">
        <v>2032</v>
      </c>
      <c r="P226" s="48">
        <v>2033</v>
      </c>
      <c r="Q226" s="48">
        <v>2034</v>
      </c>
      <c r="R226" s="48">
        <v>2035</v>
      </c>
      <c r="S226" s="48">
        <v>2036</v>
      </c>
      <c r="T226" s="48">
        <v>2037</v>
      </c>
      <c r="U226" s="48">
        <v>2038</v>
      </c>
      <c r="V226" s="48">
        <v>2039</v>
      </c>
      <c r="W226" s="48">
        <v>2040</v>
      </c>
      <c r="X226" s="48">
        <v>2041</v>
      </c>
      <c r="Y226" s="48">
        <v>2042</v>
      </c>
      <c r="Z226" s="48">
        <v>2043</v>
      </c>
      <c r="AA226" s="48">
        <v>2044</v>
      </c>
      <c r="AB226" s="48">
        <v>2045</v>
      </c>
    </row>
    <row r="227" spans="2:28" ht="13.5" thickTop="1">
      <c r="B227" s="4" t="s">
        <v>150</v>
      </c>
      <c r="C227" s="4" t="s">
        <v>151</v>
      </c>
      <c r="D227" s="91">
        <v>6.4411632789904527E-2</v>
      </c>
      <c r="E227" s="91">
        <v>6.688539867280141E-2</v>
      </c>
      <c r="F227" s="91">
        <v>6.8980566702512583E-2</v>
      </c>
      <c r="G227" s="91">
        <v>7.1040744799363217E-2</v>
      </c>
      <c r="H227" s="91">
        <v>7.3173034821412991E-2</v>
      </c>
      <c r="I227" s="91">
        <v>7.538031146173868E-2</v>
      </c>
      <c r="J227" s="91">
        <v>7.7605086915688681E-2</v>
      </c>
      <c r="K227" s="91">
        <v>7.984489126392938E-2</v>
      </c>
      <c r="L227" s="91">
        <v>8.2032869409452633E-2</v>
      </c>
      <c r="M227" s="91">
        <v>8.4160726571356814E-2</v>
      </c>
      <c r="N227" s="91">
        <v>8.6289571850559021E-2</v>
      </c>
      <c r="O227" s="91">
        <v>8.8415836875876272E-2</v>
      </c>
      <c r="P227" s="91">
        <v>9.0535693620308527E-2</v>
      </c>
      <c r="Q227" s="91">
        <v>9.2645011468251742E-2</v>
      </c>
      <c r="R227" s="91">
        <v>9.4813625030506263E-2</v>
      </c>
      <c r="S227" s="91">
        <v>9.6967147300642251E-2</v>
      </c>
      <c r="T227" s="91">
        <v>9.9100953336031694E-2</v>
      </c>
      <c r="U227" s="91">
        <v>0.10121033099316566</v>
      </c>
      <c r="V227" s="91">
        <v>0.10329036038273735</v>
      </c>
      <c r="W227" s="91">
        <v>0.10533672160665168</v>
      </c>
      <c r="X227" s="91">
        <v>0.10734416885287183</v>
      </c>
      <c r="Y227" s="91">
        <v>0.10930885202513586</v>
      </c>
      <c r="Z227" s="91">
        <v>0.11131401338901648</v>
      </c>
      <c r="AA227" s="91">
        <v>0.11327112183480052</v>
      </c>
      <c r="AB227" s="91">
        <v>0.11517590282212152</v>
      </c>
    </row>
    <row r="229" spans="2:28" s="94" customFormat="1">
      <c r="B229" s="94" t="s">
        <v>152</v>
      </c>
    </row>
    <row r="231" spans="2:28" ht="13.5" thickBot="1">
      <c r="B231" s="48" t="s">
        <v>1</v>
      </c>
      <c r="C231" s="48" t="s">
        <v>25</v>
      </c>
      <c r="D231" s="48">
        <v>2021</v>
      </c>
      <c r="E231" s="48">
        <v>2022</v>
      </c>
      <c r="F231" s="48">
        <v>2023</v>
      </c>
      <c r="G231" s="48">
        <v>2024</v>
      </c>
      <c r="H231" s="48">
        <v>2025</v>
      </c>
      <c r="I231" s="48">
        <v>2026</v>
      </c>
      <c r="J231" s="48">
        <v>2027</v>
      </c>
      <c r="K231" s="48">
        <v>2028</v>
      </c>
      <c r="L231" s="48">
        <v>2029</v>
      </c>
      <c r="M231" s="48">
        <v>2030</v>
      </c>
      <c r="N231" s="48">
        <v>2031</v>
      </c>
      <c r="O231" s="48">
        <v>2032</v>
      </c>
      <c r="P231" s="48">
        <v>2033</v>
      </c>
      <c r="Q231" s="48">
        <v>2034</v>
      </c>
      <c r="R231" s="48">
        <v>2035</v>
      </c>
      <c r="S231" s="48">
        <v>2036</v>
      </c>
      <c r="T231" s="48">
        <v>2037</v>
      </c>
      <c r="U231" s="48">
        <v>2038</v>
      </c>
      <c r="V231" s="48">
        <v>2039</v>
      </c>
      <c r="W231" s="48">
        <v>2040</v>
      </c>
      <c r="X231" s="48">
        <v>2041</v>
      </c>
      <c r="Y231" s="48">
        <v>2042</v>
      </c>
      <c r="Z231" s="48">
        <v>2043</v>
      </c>
      <c r="AA231" s="48">
        <v>2044</v>
      </c>
      <c r="AB231" s="48">
        <v>2045</v>
      </c>
    </row>
    <row r="232" spans="2:28" ht="13.5" thickTop="1">
      <c r="B232" s="4" t="s">
        <v>135</v>
      </c>
      <c r="C232" s="4" t="s">
        <v>153</v>
      </c>
      <c r="D232" s="78">
        <v>82958.418120835689</v>
      </c>
      <c r="E232" s="78">
        <v>86144.483984369945</v>
      </c>
      <c r="F232" s="78">
        <v>88842.937942354823</v>
      </c>
      <c r="G232" s="78">
        <v>91496.326912005505</v>
      </c>
      <c r="H232" s="78">
        <v>94242.591826311735</v>
      </c>
      <c r="I232" s="78">
        <v>97085.43512192824</v>
      </c>
      <c r="J232" s="78">
        <v>99950.815866672914</v>
      </c>
      <c r="K232" s="78">
        <v>102835.55294881284</v>
      </c>
      <c r="L232" s="78">
        <v>105653.5409111366</v>
      </c>
      <c r="M232" s="78">
        <v>108394.09656067959</v>
      </c>
      <c r="N232" s="78">
        <v>111135.92484754616</v>
      </c>
      <c r="O232" s="78">
        <v>113874.42991822689</v>
      </c>
      <c r="P232" s="78">
        <v>116604.68149769701</v>
      </c>
      <c r="Q232" s="78">
        <v>119321.35959449633</v>
      </c>
      <c r="R232" s="78">
        <v>122114.40710544567</v>
      </c>
      <c r="S232" s="78">
        <v>124888.0179142447</v>
      </c>
      <c r="T232" s="78">
        <v>127636.2353651202</v>
      </c>
      <c r="U232" s="78">
        <v>130352.99049266132</v>
      </c>
      <c r="V232" s="78">
        <v>133031.94676701244</v>
      </c>
      <c r="W232" s="78">
        <v>135667.54041192864</v>
      </c>
      <c r="X232" s="78">
        <v>138253.01512812858</v>
      </c>
      <c r="Y232" s="78">
        <v>140783.41221666805</v>
      </c>
      <c r="Z232" s="78">
        <v>143365.94285002633</v>
      </c>
      <c r="AA232" s="78">
        <v>145886.58413360856</v>
      </c>
      <c r="AB232" s="78">
        <v>148339.83070927308</v>
      </c>
    </row>
    <row r="233" spans="2:28">
      <c r="B233" s="4" t="s">
        <v>154</v>
      </c>
      <c r="C233" s="4" t="s">
        <v>153</v>
      </c>
      <c r="D233" s="78">
        <v>10362.083192404516</v>
      </c>
      <c r="E233" s="78">
        <v>10760.044969910135</v>
      </c>
      <c r="F233" s="78">
        <v>11097.10063028669</v>
      </c>
      <c r="G233" s="78">
        <v>11428.527360305585</v>
      </c>
      <c r="H233" s="78">
        <v>11771.554941532759</v>
      </c>
      <c r="I233" s="78">
        <v>12126.645834047609</v>
      </c>
      <c r="J233" s="78">
        <v>12484.551810650375</v>
      </c>
      <c r="K233" s="78">
        <v>12844.87552836891</v>
      </c>
      <c r="L233" s="78">
        <v>13196.86181694858</v>
      </c>
      <c r="M233" s="78">
        <v>13539.176271313112</v>
      </c>
      <c r="N233" s="78">
        <v>13881.649686927383</v>
      </c>
      <c r="O233" s="78">
        <v>14223.708009735352</v>
      </c>
      <c r="P233" s="78">
        <v>14564.735414108647</v>
      </c>
      <c r="Q233" s="78">
        <v>14904.067396126607</v>
      </c>
      <c r="R233" s="78">
        <v>15252.93844893091</v>
      </c>
      <c r="S233" s="78">
        <v>15599.3817225028</v>
      </c>
      <c r="T233" s="78">
        <v>15942.653189122502</v>
      </c>
      <c r="U233" s="78">
        <v>16281.994792815669</v>
      </c>
      <c r="V233" s="78">
        <v>16616.615056948554</v>
      </c>
      <c r="W233" s="78">
        <v>16945.819027185968</v>
      </c>
      <c r="X233" s="78">
        <v>17268.762794774433</v>
      </c>
      <c r="Y233" s="78">
        <v>17584.826983740433</v>
      </c>
      <c r="Z233" s="78">
        <v>17907.40301491322</v>
      </c>
      <c r="AA233" s="78">
        <v>18222.24863601274</v>
      </c>
      <c r="AB233" s="78">
        <v>18528.676189531059</v>
      </c>
    </row>
    <row r="234" spans="2:28">
      <c r="B234" s="4" t="s">
        <v>136</v>
      </c>
      <c r="C234" s="4" t="s">
        <v>153</v>
      </c>
      <c r="D234" s="78">
        <v>89139.85153895065</v>
      </c>
      <c r="E234" s="78">
        <v>92563.318915764481</v>
      </c>
      <c r="F234" s="78">
        <v>95462.841238491281</v>
      </c>
      <c r="G234" s="78">
        <v>98313.940671043572</v>
      </c>
      <c r="H234" s="78">
        <v>101264.83646068259</v>
      </c>
      <c r="I234" s="78">
        <v>104319.50692161934</v>
      </c>
      <c r="J234" s="78">
        <v>107398.39415181059</v>
      </c>
      <c r="K234" s="78">
        <v>110498.08000715448</v>
      </c>
      <c r="L234" s="78">
        <v>113526.04310348793</v>
      </c>
      <c r="M234" s="78">
        <v>116470.80421716614</v>
      </c>
      <c r="N234" s="78">
        <v>119416.93279546888</v>
      </c>
      <c r="O234" s="78">
        <v>122359.49053666854</v>
      </c>
      <c r="P234" s="78">
        <v>125293.17979896205</v>
      </c>
      <c r="Q234" s="78">
        <v>128212.28418539188</v>
      </c>
      <c r="R234" s="78">
        <v>131213.44845668515</v>
      </c>
      <c r="S234" s="78">
        <v>134193.72774989743</v>
      </c>
      <c r="T234" s="78">
        <v>137146.7215643524</v>
      </c>
      <c r="U234" s="78">
        <v>140065.90872127187</v>
      </c>
      <c r="V234" s="78">
        <v>142944.48054055564</v>
      </c>
      <c r="W234" s="78">
        <v>145776.4586754645</v>
      </c>
      <c r="X234" s="78">
        <v>148554.58339843203</v>
      </c>
      <c r="Y234" s="78">
        <v>151273.52652580047</v>
      </c>
      <c r="Z234" s="78">
        <v>154048.48779515634</v>
      </c>
      <c r="AA234" s="78">
        <v>156756.94818882237</v>
      </c>
      <c r="AB234" s="78">
        <v>159392.99213103743</v>
      </c>
    </row>
    <row r="235" spans="2:28">
      <c r="B235" s="4" t="s">
        <v>155</v>
      </c>
      <c r="C235" s="4" t="s">
        <v>153</v>
      </c>
      <c r="D235" s="78">
        <v>1367541.795812838</v>
      </c>
      <c r="E235" s="78">
        <v>1420063.0267052737</v>
      </c>
      <c r="F235" s="78">
        <v>1464546.1383075919</v>
      </c>
      <c r="G235" s="78">
        <v>1508286.3686391378</v>
      </c>
      <c r="H235" s="78">
        <v>1553557.6278767206</v>
      </c>
      <c r="I235" s="78">
        <v>1600420.9494511404</v>
      </c>
      <c r="J235" s="78">
        <v>1647655.7933418229</v>
      </c>
      <c r="K235" s="78">
        <v>1695209.7199850639</v>
      </c>
      <c r="L235" s="78">
        <v>1741663.3096974657</v>
      </c>
      <c r="M235" s="78">
        <v>1786840.4536136147</v>
      </c>
      <c r="N235" s="78">
        <v>1832038.5765306936</v>
      </c>
      <c r="O235" s="78">
        <v>1877181.9173396558</v>
      </c>
      <c r="P235" s="78">
        <v>1922189.2021045473</v>
      </c>
      <c r="Q235" s="78">
        <v>1966972.7325442298</v>
      </c>
      <c r="R235" s="78">
        <v>2013015.1872514868</v>
      </c>
      <c r="S235" s="78">
        <v>2058737.2344200581</v>
      </c>
      <c r="T235" s="78">
        <v>2104040.6805703957</v>
      </c>
      <c r="U235" s="78">
        <v>2148825.4808361107</v>
      </c>
      <c r="V235" s="78">
        <v>2192987.1796403704</v>
      </c>
      <c r="W235" s="78">
        <v>2236434.0599913397</v>
      </c>
      <c r="X235" s="78">
        <v>2279054.7465534997</v>
      </c>
      <c r="Y235" s="78">
        <v>2320767.4968320844</v>
      </c>
      <c r="Z235" s="78">
        <v>2363339.6511725904</v>
      </c>
      <c r="AA235" s="78">
        <v>2404891.5802671048</v>
      </c>
      <c r="AB235" s="78">
        <v>2445332.5301266988</v>
      </c>
    </row>
    <row r="238" spans="2:28" s="72" customFormat="1">
      <c r="B238" s="72" t="s">
        <v>156</v>
      </c>
    </row>
    <row r="239" spans="2:28">
      <c r="B239" s="4" t="s">
        <v>157</v>
      </c>
      <c r="C239" s="54">
        <v>0.87</v>
      </c>
      <c r="D239" s="4" t="s">
        <v>115</v>
      </c>
    </row>
    <row r="240" spans="2:28">
      <c r="B240" s="4" t="s">
        <v>158</v>
      </c>
      <c r="C240" s="54">
        <v>0.83</v>
      </c>
      <c r="D240" s="4" t="s">
        <v>115</v>
      </c>
    </row>
    <row r="241" spans="2:4">
      <c r="B241" s="4" t="s">
        <v>159</v>
      </c>
      <c r="C241" s="54">
        <v>0.78</v>
      </c>
      <c r="D241" s="4" t="s">
        <v>115</v>
      </c>
    </row>
  </sheetData>
  <mergeCells count="56">
    <mergeCell ref="B45:C45"/>
    <mergeCell ref="B40:C40"/>
    <mergeCell ref="B41:C41"/>
    <mergeCell ref="B42:C42"/>
    <mergeCell ref="B43:C43"/>
    <mergeCell ref="B44:C44"/>
    <mergeCell ref="B46:C46"/>
    <mergeCell ref="B47:C47"/>
    <mergeCell ref="E77:F77"/>
    <mergeCell ref="E91:F91"/>
    <mergeCell ref="G91:I91"/>
    <mergeCell ref="B170:B171"/>
    <mergeCell ref="B173:B174"/>
    <mergeCell ref="B175:B176"/>
    <mergeCell ref="C173:D173"/>
    <mergeCell ref="E173:F173"/>
    <mergeCell ref="C172:D172"/>
    <mergeCell ref="E172:F172"/>
    <mergeCell ref="G177:H177"/>
    <mergeCell ref="G178:H178"/>
    <mergeCell ref="G179:H179"/>
    <mergeCell ref="C170:D170"/>
    <mergeCell ref="E170:F170"/>
    <mergeCell ref="G170:H170"/>
    <mergeCell ref="C171:H171"/>
    <mergeCell ref="G173:H173"/>
    <mergeCell ref="G172:H172"/>
    <mergeCell ref="G174:H174"/>
    <mergeCell ref="G180:H180"/>
    <mergeCell ref="G181:H181"/>
    <mergeCell ref="G182:H182"/>
    <mergeCell ref="G183:H18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G175:H175"/>
    <mergeCell ref="G176:H176"/>
    <mergeCell ref="B207:B208"/>
    <mergeCell ref="C208:F208"/>
    <mergeCell ref="C183:D18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692B-213E-4CBB-87AD-88F5520AEBB1}">
  <dimension ref="B2:T124"/>
  <sheetViews>
    <sheetView workbookViewId="0">
      <selection activeCell="D81" sqref="D81:S81"/>
    </sheetView>
  </sheetViews>
  <sheetFormatPr defaultRowHeight="12.75"/>
  <cols>
    <col min="1" max="1" width="9.140625" style="1"/>
    <col min="2" max="2" width="28.85546875" style="1" customWidth="1"/>
    <col min="3" max="3" width="12.7109375" style="1" customWidth="1"/>
    <col min="4" max="19" width="10.85546875" style="1" bestFit="1" customWidth="1"/>
    <col min="20" max="16384" width="9.140625" style="1"/>
  </cols>
  <sheetData>
    <row r="2" spans="2:19" s="2" customFormat="1" ht="18.75">
      <c r="B2" s="2" t="s">
        <v>163</v>
      </c>
    </row>
    <row r="4" spans="2:19" ht="13.5" thickBot="1">
      <c r="B4" s="84" t="s">
        <v>1</v>
      </c>
      <c r="C4" s="84" t="s">
        <v>25</v>
      </c>
      <c r="D4" s="84">
        <v>2021</v>
      </c>
      <c r="E4" s="84">
        <f>D4+1</f>
        <v>2022</v>
      </c>
      <c r="F4" s="84">
        <f t="shared" ref="F4:S4" si="0">E4+1</f>
        <v>2023</v>
      </c>
      <c r="G4" s="84">
        <f t="shared" si="0"/>
        <v>2024</v>
      </c>
      <c r="H4" s="84">
        <f t="shared" si="0"/>
        <v>2025</v>
      </c>
      <c r="I4" s="84">
        <f t="shared" si="0"/>
        <v>2026</v>
      </c>
      <c r="J4" s="84">
        <f t="shared" si="0"/>
        <v>2027</v>
      </c>
      <c r="K4" s="84">
        <f t="shared" si="0"/>
        <v>2028</v>
      </c>
      <c r="L4" s="84">
        <f t="shared" si="0"/>
        <v>2029</v>
      </c>
      <c r="M4" s="84">
        <f t="shared" si="0"/>
        <v>2030</v>
      </c>
      <c r="N4" s="84">
        <f t="shared" si="0"/>
        <v>2031</v>
      </c>
      <c r="O4" s="84">
        <f t="shared" si="0"/>
        <v>2032</v>
      </c>
      <c r="P4" s="84">
        <f t="shared" si="0"/>
        <v>2033</v>
      </c>
      <c r="Q4" s="84">
        <f t="shared" si="0"/>
        <v>2034</v>
      </c>
      <c r="R4" s="84">
        <f t="shared" si="0"/>
        <v>2035</v>
      </c>
      <c r="S4" s="84">
        <f t="shared" si="0"/>
        <v>2036</v>
      </c>
    </row>
    <row r="5" spans="2:19" ht="26.25" thickTop="1">
      <c r="B5" s="102" t="s">
        <v>164</v>
      </c>
      <c r="C5" s="63" t="s">
        <v>77</v>
      </c>
      <c r="D5" s="101">
        <f>ZAŁOŻENIA!D157</f>
        <v>0</v>
      </c>
      <c r="E5" s="101">
        <f>ZAŁOŻENIA!E157</f>
        <v>0</v>
      </c>
      <c r="F5" s="101">
        <f>ZAŁOŻENIA!F157</f>
        <v>81830.322580645152</v>
      </c>
      <c r="G5" s="101">
        <f>ZAŁOŻENIA!G157</f>
        <v>81830.322580645152</v>
      </c>
      <c r="H5" s="101">
        <f>ZAŁOŻENIA!H157</f>
        <v>204575.80645161291</v>
      </c>
      <c r="I5" s="101">
        <f>ZAŁOŻENIA!I157</f>
        <v>204575.80645161291</v>
      </c>
      <c r="J5" s="101">
        <f>ZAŁOŻENIA!J157</f>
        <v>204575.80645161291</v>
      </c>
      <c r="K5" s="101">
        <f>ZAŁOŻENIA!K157</f>
        <v>327321.29032258061</v>
      </c>
      <c r="L5" s="101">
        <f>ZAŁOŻENIA!L157</f>
        <v>327321.29032258061</v>
      </c>
      <c r="M5" s="101">
        <f>ZAŁOŻENIA!M157</f>
        <v>327321.29032258061</v>
      </c>
      <c r="N5" s="101">
        <f>ZAŁOŻENIA!N157</f>
        <v>327321.29032258061</v>
      </c>
      <c r="O5" s="101">
        <f>ZAŁOŻENIA!O157</f>
        <v>327321.29032258061</v>
      </c>
      <c r="P5" s="101">
        <f>ZAŁOŻENIA!P157</f>
        <v>327321.29032258061</v>
      </c>
      <c r="Q5" s="101">
        <f>ZAŁOŻENIA!Q157</f>
        <v>327321.29032258061</v>
      </c>
      <c r="R5" s="101">
        <f>ZAŁOŻENIA!R157</f>
        <v>327321.29032258061</v>
      </c>
      <c r="S5" s="101">
        <f>ZAŁOŻENIA!S157</f>
        <v>327321.29032258061</v>
      </c>
    </row>
    <row r="6" spans="2:19">
      <c r="B6" s="93" t="s">
        <v>165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2:19" s="97" customFormat="1">
      <c r="B7" s="99" t="s">
        <v>160</v>
      </c>
      <c r="C7" s="100"/>
      <c r="D7" s="104">
        <f>D8</f>
        <v>0</v>
      </c>
      <c r="E7" s="104">
        <f t="shared" ref="E7:S7" si="1">E8</f>
        <v>0</v>
      </c>
      <c r="F7" s="104">
        <f t="shared" si="1"/>
        <v>517.78136612903211</v>
      </c>
      <c r="G7" s="104">
        <f t="shared" si="1"/>
        <v>517.78136612903211</v>
      </c>
      <c r="H7" s="104">
        <f t="shared" si="1"/>
        <v>1294.4534153225807</v>
      </c>
      <c r="I7" s="104">
        <f t="shared" si="1"/>
        <v>1294.4534153225807</v>
      </c>
      <c r="J7" s="104">
        <f t="shared" si="1"/>
        <v>1294.4534153225807</v>
      </c>
      <c r="K7" s="104">
        <f t="shared" si="1"/>
        <v>2071.1254645161284</v>
      </c>
      <c r="L7" s="104">
        <f t="shared" si="1"/>
        <v>2071.1254645161284</v>
      </c>
      <c r="M7" s="104">
        <f t="shared" si="1"/>
        <v>2071.1254645161284</v>
      </c>
      <c r="N7" s="104">
        <f t="shared" si="1"/>
        <v>2071.1254645161284</v>
      </c>
      <c r="O7" s="104">
        <f t="shared" si="1"/>
        <v>2071.1254645161284</v>
      </c>
      <c r="P7" s="104">
        <f t="shared" si="1"/>
        <v>2071.1254645161284</v>
      </c>
      <c r="Q7" s="104">
        <f t="shared" si="1"/>
        <v>2071.1254645161284</v>
      </c>
      <c r="R7" s="104">
        <f t="shared" si="1"/>
        <v>2071.1254645161284</v>
      </c>
      <c r="S7" s="104">
        <f t="shared" si="1"/>
        <v>2071.1254645161284</v>
      </c>
    </row>
    <row r="8" spans="2:19">
      <c r="B8" s="1" t="str">
        <f>ZAŁOŻENIA!B126</f>
        <v>Autobus ON</v>
      </c>
      <c r="C8" s="54" t="s">
        <v>166</v>
      </c>
      <c r="D8" s="103">
        <f>PRODUCT(D5,ZAŁOŻENIA!$C$183)/1000</f>
        <v>0</v>
      </c>
      <c r="E8" s="103">
        <f>PRODUCT(E5,ZAŁOŻENIA!$C$183)/1000</f>
        <v>0</v>
      </c>
      <c r="F8" s="103">
        <f>PRODUCT(F5,ZAŁOŻENIA!$C$183)/1000</f>
        <v>517.78136612903211</v>
      </c>
      <c r="G8" s="103">
        <f>PRODUCT(G5,ZAŁOŻENIA!$C$183)/1000</f>
        <v>517.78136612903211</v>
      </c>
      <c r="H8" s="103">
        <f>PRODUCT(H5,ZAŁOŻENIA!$C$183)/1000</f>
        <v>1294.4534153225807</v>
      </c>
      <c r="I8" s="103">
        <f>PRODUCT(I5,ZAŁOŻENIA!$C$183)/1000</f>
        <v>1294.4534153225807</v>
      </c>
      <c r="J8" s="103">
        <f>PRODUCT(J5,ZAŁOŻENIA!$C$183)/1000</f>
        <v>1294.4534153225807</v>
      </c>
      <c r="K8" s="103">
        <f>PRODUCT(K5,ZAŁOŻENIA!$C$183)/1000</f>
        <v>2071.1254645161284</v>
      </c>
      <c r="L8" s="103">
        <f>PRODUCT(L5,ZAŁOŻENIA!$C$183)/1000</f>
        <v>2071.1254645161284</v>
      </c>
      <c r="M8" s="103">
        <f>PRODUCT(M5,ZAŁOŻENIA!$C$183)/1000</f>
        <v>2071.1254645161284</v>
      </c>
      <c r="N8" s="103">
        <f>PRODUCT(N5,ZAŁOŻENIA!$C$183)/1000</f>
        <v>2071.1254645161284</v>
      </c>
      <c r="O8" s="103">
        <f>PRODUCT(O5,ZAŁOŻENIA!$C$183)/1000</f>
        <v>2071.1254645161284</v>
      </c>
      <c r="P8" s="103">
        <f>PRODUCT(P5,ZAŁOŻENIA!$C$183)/1000</f>
        <v>2071.1254645161284</v>
      </c>
      <c r="Q8" s="103">
        <f>PRODUCT(Q5,ZAŁOŻENIA!$C$183)/1000</f>
        <v>2071.1254645161284</v>
      </c>
      <c r="R8" s="103">
        <f>PRODUCT(R5,ZAŁOŻENIA!$C$183)/1000</f>
        <v>2071.1254645161284</v>
      </c>
      <c r="S8" s="103">
        <f>PRODUCT(S5,ZAŁOŻENIA!$C$183)/1000</f>
        <v>2071.1254645161284</v>
      </c>
    </row>
    <row r="9" spans="2:19" s="97" customFormat="1">
      <c r="B9" s="99" t="s">
        <v>161</v>
      </c>
      <c r="C9" s="100"/>
      <c r="D9" s="104">
        <f>D10</f>
        <v>0</v>
      </c>
      <c r="E9" s="104">
        <f t="shared" ref="E9:S9" si="2">E10</f>
        <v>0</v>
      </c>
      <c r="F9" s="104">
        <f t="shared" si="2"/>
        <v>495.90812090322572</v>
      </c>
      <c r="G9" s="104">
        <f t="shared" si="2"/>
        <v>495.90812090322572</v>
      </c>
      <c r="H9" s="104">
        <f t="shared" si="2"/>
        <v>1239.7703022580645</v>
      </c>
      <c r="I9" s="104">
        <f t="shared" si="2"/>
        <v>1239.7703022580645</v>
      </c>
      <c r="J9" s="104">
        <f t="shared" si="2"/>
        <v>1239.7703022580645</v>
      </c>
      <c r="K9" s="104">
        <f t="shared" si="2"/>
        <v>1983.6324836129029</v>
      </c>
      <c r="L9" s="104">
        <f t="shared" si="2"/>
        <v>1983.6324836129029</v>
      </c>
      <c r="M9" s="104">
        <f t="shared" si="2"/>
        <v>1983.6324836129029</v>
      </c>
      <c r="N9" s="104">
        <f t="shared" si="2"/>
        <v>1983.6324836129029</v>
      </c>
      <c r="O9" s="104">
        <f t="shared" si="2"/>
        <v>1983.6324836129029</v>
      </c>
      <c r="P9" s="104">
        <f t="shared" si="2"/>
        <v>1983.6324836129029</v>
      </c>
      <c r="Q9" s="104">
        <f t="shared" si="2"/>
        <v>1983.6324836129029</v>
      </c>
      <c r="R9" s="104">
        <f t="shared" si="2"/>
        <v>1983.6324836129029</v>
      </c>
      <c r="S9" s="104">
        <f t="shared" si="2"/>
        <v>1983.6324836129029</v>
      </c>
    </row>
    <row r="10" spans="2:19">
      <c r="B10" s="1" t="str">
        <f>ZAŁOŻENIA!B133</f>
        <v>Autobus EE</v>
      </c>
      <c r="C10" s="54" t="s">
        <v>166</v>
      </c>
      <c r="D10" s="103">
        <f>PRODUCT(D5,ZAŁOŻENIA!$E$183)/1000</f>
        <v>0</v>
      </c>
      <c r="E10" s="103">
        <f>PRODUCT(E5,ZAŁOŻENIA!$E$183)/1000</f>
        <v>0</v>
      </c>
      <c r="F10" s="103">
        <f>PRODUCT(F5,ZAŁOŻENIA!$E$183)/1000</f>
        <v>495.90812090322572</v>
      </c>
      <c r="G10" s="103">
        <f>PRODUCT(G5,ZAŁOŻENIA!$E$183)/1000</f>
        <v>495.90812090322572</v>
      </c>
      <c r="H10" s="103">
        <f>PRODUCT(H5,ZAŁOŻENIA!$E$183)/1000</f>
        <v>1239.7703022580645</v>
      </c>
      <c r="I10" s="103">
        <f>PRODUCT(I5,ZAŁOŻENIA!$E$183)/1000</f>
        <v>1239.7703022580645</v>
      </c>
      <c r="J10" s="103">
        <f>PRODUCT(J5,ZAŁOŻENIA!$E$183)/1000</f>
        <v>1239.7703022580645</v>
      </c>
      <c r="K10" s="103">
        <f>PRODUCT(K5,ZAŁOŻENIA!$E$183)/1000</f>
        <v>1983.6324836129029</v>
      </c>
      <c r="L10" s="103">
        <f>PRODUCT(L5,ZAŁOŻENIA!$E$183)/1000</f>
        <v>1983.6324836129029</v>
      </c>
      <c r="M10" s="103">
        <f>PRODUCT(M5,ZAŁOŻENIA!$E$183)/1000</f>
        <v>1983.6324836129029</v>
      </c>
      <c r="N10" s="103">
        <f>PRODUCT(N5,ZAŁOŻENIA!$E$183)/1000</f>
        <v>1983.6324836129029</v>
      </c>
      <c r="O10" s="103">
        <f>PRODUCT(O5,ZAŁOŻENIA!$E$183)/1000</f>
        <v>1983.6324836129029</v>
      </c>
      <c r="P10" s="103">
        <f>PRODUCT(P5,ZAŁOŻENIA!$E$183)/1000</f>
        <v>1983.6324836129029</v>
      </c>
      <c r="Q10" s="103">
        <f>PRODUCT(Q5,ZAŁOŻENIA!$E$183)/1000</f>
        <v>1983.6324836129029</v>
      </c>
      <c r="R10" s="103">
        <f>PRODUCT(R5,ZAŁOŻENIA!$E$183)/1000</f>
        <v>1983.6324836129029</v>
      </c>
      <c r="S10" s="103">
        <f>PRODUCT(S5,ZAŁOŻENIA!$E$183)/1000</f>
        <v>1983.6324836129029</v>
      </c>
    </row>
    <row r="11" spans="2:19" s="97" customFormat="1">
      <c r="B11" s="99" t="s">
        <v>162</v>
      </c>
      <c r="C11" s="100"/>
      <c r="D11" s="104">
        <f>D12</f>
        <v>0</v>
      </c>
      <c r="E11" s="104">
        <f t="shared" ref="E11:S11" si="3">E12</f>
        <v>0</v>
      </c>
      <c r="F11" s="104">
        <f t="shared" si="3"/>
        <v>688.10790936774185</v>
      </c>
      <c r="G11" s="104">
        <f t="shared" si="3"/>
        <v>688.10790936774185</v>
      </c>
      <c r="H11" s="104">
        <f t="shared" si="3"/>
        <v>1720.269773419355</v>
      </c>
      <c r="I11" s="104">
        <f t="shared" si="3"/>
        <v>1720.269773419355</v>
      </c>
      <c r="J11" s="104">
        <f t="shared" si="3"/>
        <v>1720.269773419355</v>
      </c>
      <c r="K11" s="104">
        <f t="shared" si="3"/>
        <v>2752.4316374709674</v>
      </c>
      <c r="L11" s="104">
        <f t="shared" si="3"/>
        <v>2752.4316374709674</v>
      </c>
      <c r="M11" s="104">
        <f t="shared" si="3"/>
        <v>2752.4316374709674</v>
      </c>
      <c r="N11" s="104">
        <f t="shared" si="3"/>
        <v>2752.4316374709674</v>
      </c>
      <c r="O11" s="104">
        <f t="shared" si="3"/>
        <v>2752.4316374709674</v>
      </c>
      <c r="P11" s="104">
        <f t="shared" si="3"/>
        <v>2752.4316374709674</v>
      </c>
      <c r="Q11" s="104">
        <f t="shared" si="3"/>
        <v>2752.4316374709674</v>
      </c>
      <c r="R11" s="104">
        <f t="shared" si="3"/>
        <v>2752.4316374709674</v>
      </c>
      <c r="S11" s="104">
        <f t="shared" si="3"/>
        <v>2752.4316374709674</v>
      </c>
    </row>
    <row r="12" spans="2:19">
      <c r="B12" s="1" t="str">
        <f>ZAŁOŻENIA!B143</f>
        <v>Autobus H2</v>
      </c>
      <c r="C12" s="54" t="s">
        <v>166</v>
      </c>
      <c r="D12" s="103">
        <f>PRODUCT(D5,ZAŁOŻENIA!$G$183)/1000</f>
        <v>0</v>
      </c>
      <c r="E12" s="103">
        <f>PRODUCT(E5,ZAŁOŻENIA!$G$183)/1000</f>
        <v>0</v>
      </c>
      <c r="F12" s="103">
        <f>PRODUCT(F5,ZAŁOŻENIA!$G$183)/1000</f>
        <v>688.10790936774185</v>
      </c>
      <c r="G12" s="103">
        <f>PRODUCT(G5,ZAŁOŻENIA!$G$183)/1000</f>
        <v>688.10790936774185</v>
      </c>
      <c r="H12" s="103">
        <f>PRODUCT(H5,ZAŁOŻENIA!$G$183)/1000</f>
        <v>1720.269773419355</v>
      </c>
      <c r="I12" s="103">
        <f>PRODUCT(I5,ZAŁOŻENIA!$G$183)/1000</f>
        <v>1720.269773419355</v>
      </c>
      <c r="J12" s="103">
        <f>PRODUCT(J5,ZAŁOŻENIA!$G$183)/1000</f>
        <v>1720.269773419355</v>
      </c>
      <c r="K12" s="103">
        <f>PRODUCT(K5,ZAŁOŻENIA!$G$183)/1000</f>
        <v>2752.4316374709674</v>
      </c>
      <c r="L12" s="103">
        <f>PRODUCT(L5,ZAŁOŻENIA!$G$183)/1000</f>
        <v>2752.4316374709674</v>
      </c>
      <c r="M12" s="103">
        <f>PRODUCT(M5,ZAŁOŻENIA!$G$183)/1000</f>
        <v>2752.4316374709674</v>
      </c>
      <c r="N12" s="103">
        <f>PRODUCT(N5,ZAŁOŻENIA!$G$183)/1000</f>
        <v>2752.4316374709674</v>
      </c>
      <c r="O12" s="103">
        <f>PRODUCT(O5,ZAŁOŻENIA!$G$183)/1000</f>
        <v>2752.4316374709674</v>
      </c>
      <c r="P12" s="103">
        <f>PRODUCT(P5,ZAŁOŻENIA!$G$183)/1000</f>
        <v>2752.4316374709674</v>
      </c>
      <c r="Q12" s="103">
        <f>PRODUCT(Q5,ZAŁOŻENIA!$G$183)/1000</f>
        <v>2752.4316374709674</v>
      </c>
      <c r="R12" s="103">
        <f>PRODUCT(R5,ZAŁOŻENIA!$G$183)/1000</f>
        <v>2752.4316374709674</v>
      </c>
      <c r="S12" s="103">
        <f>PRODUCT(S5,ZAŁOŻENIA!$G$183)/1000</f>
        <v>2752.4316374709674</v>
      </c>
    </row>
    <row r="14" spans="2:19" ht="13.5" thickBot="1">
      <c r="B14" s="134" t="s">
        <v>1</v>
      </c>
      <c r="C14" s="134" t="s">
        <v>25</v>
      </c>
      <c r="D14" s="134">
        <v>2021</v>
      </c>
      <c r="E14" s="134">
        <f>D14+1</f>
        <v>2022</v>
      </c>
      <c r="F14" s="134">
        <f t="shared" ref="F14" si="4">E14+1</f>
        <v>2023</v>
      </c>
      <c r="G14" s="134">
        <f t="shared" ref="G14" si="5">F14+1</f>
        <v>2024</v>
      </c>
      <c r="H14" s="134">
        <f t="shared" ref="H14" si="6">G14+1</f>
        <v>2025</v>
      </c>
      <c r="I14" s="134">
        <f t="shared" ref="I14" si="7">H14+1</f>
        <v>2026</v>
      </c>
      <c r="J14" s="134">
        <f t="shared" ref="J14" si="8">I14+1</f>
        <v>2027</v>
      </c>
      <c r="K14" s="134">
        <f t="shared" ref="K14" si="9">J14+1</f>
        <v>2028</v>
      </c>
      <c r="L14" s="134">
        <f t="shared" ref="L14" si="10">K14+1</f>
        <v>2029</v>
      </c>
      <c r="M14" s="134">
        <f t="shared" ref="M14" si="11">L14+1</f>
        <v>2030</v>
      </c>
      <c r="N14" s="134">
        <f t="shared" ref="N14" si="12">M14+1</f>
        <v>2031</v>
      </c>
      <c r="O14" s="134">
        <f t="shared" ref="O14" si="13">N14+1</f>
        <v>2032</v>
      </c>
      <c r="P14" s="134">
        <f t="shared" ref="P14" si="14">O14+1</f>
        <v>2033</v>
      </c>
      <c r="Q14" s="134">
        <f t="shared" ref="Q14" si="15">P14+1</f>
        <v>2034</v>
      </c>
      <c r="R14" s="134">
        <f t="shared" ref="R14" si="16">Q14+1</f>
        <v>2035</v>
      </c>
      <c r="S14" s="134">
        <f t="shared" ref="S14" si="17">R14+1</f>
        <v>2036</v>
      </c>
    </row>
    <row r="15" spans="2:19" ht="13.5" thickTop="1">
      <c r="B15" s="1" t="s">
        <v>245</v>
      </c>
      <c r="C15" s="1" t="s">
        <v>247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36">
        <f>ZAŁOŻENIA!F111</f>
        <v>2</v>
      </c>
      <c r="O15" s="1">
        <v>0</v>
      </c>
      <c r="P15" s="136">
        <f>ZAŁOŻENIA!H111</f>
        <v>3</v>
      </c>
      <c r="Q15" s="1">
        <v>0</v>
      </c>
      <c r="R15" s="1">
        <v>0</v>
      </c>
      <c r="S15" s="136">
        <f>ZAŁOŻENIA!K111</f>
        <v>3</v>
      </c>
    </row>
    <row r="16" spans="2:19">
      <c r="B16" s="99" t="s">
        <v>246</v>
      </c>
      <c r="C16" s="99" t="s">
        <v>183</v>
      </c>
      <c r="D16" s="104">
        <f>PRODUCT(D15,ZAŁOŻENIA!$D$72)</f>
        <v>0</v>
      </c>
      <c r="E16" s="104">
        <f>PRODUCT(E15,ZAŁOŻENIA!$D$72)</f>
        <v>0</v>
      </c>
      <c r="F16" s="104">
        <f>PRODUCT(F15,ZAŁOŻENIA!$D$72)</f>
        <v>0</v>
      </c>
      <c r="G16" s="104">
        <f>PRODUCT(G15,ZAŁOŻENIA!$D$72)</f>
        <v>0</v>
      </c>
      <c r="H16" s="104">
        <f>PRODUCT(H15,ZAŁOŻENIA!$D$72)</f>
        <v>0</v>
      </c>
      <c r="I16" s="104">
        <f>PRODUCT(I15,ZAŁOŻENIA!$D$72)</f>
        <v>0</v>
      </c>
      <c r="J16" s="104">
        <f>PRODUCT(J15,ZAŁOŻENIA!$D$72)</f>
        <v>0</v>
      </c>
      <c r="K16" s="104">
        <f>PRODUCT(K15,ZAŁOŻENIA!$D$72)</f>
        <v>0</v>
      </c>
      <c r="L16" s="104">
        <f>PRODUCT(L15,ZAŁOŻENIA!$D$72)</f>
        <v>0</v>
      </c>
      <c r="M16" s="104">
        <f>PRODUCT(M15,ZAŁOŻENIA!$D$72)</f>
        <v>0</v>
      </c>
      <c r="N16" s="104">
        <f>PRODUCT(N15,ZAŁOŻENIA!$D$72)</f>
        <v>1000</v>
      </c>
      <c r="O16" s="104">
        <f>PRODUCT(O15,ZAŁOŻENIA!$D$72)</f>
        <v>0</v>
      </c>
      <c r="P16" s="104">
        <f>PRODUCT(P15,ZAŁOŻENIA!$D$72)</f>
        <v>1500</v>
      </c>
      <c r="Q16" s="104">
        <f>PRODUCT(Q15,ZAŁOŻENIA!$D$72)</f>
        <v>0</v>
      </c>
      <c r="R16" s="104">
        <f>PRODUCT(R15,ZAŁOŻENIA!$D$72)</f>
        <v>0</v>
      </c>
      <c r="S16" s="104">
        <f>PRODUCT(S15,ZAŁOŻENIA!$D$72)</f>
        <v>1500</v>
      </c>
    </row>
    <row r="18" spans="2:19" s="2" customFormat="1" ht="18.75">
      <c r="B18" s="2" t="s">
        <v>167</v>
      </c>
    </row>
    <row r="20" spans="2:19" s="98" customFormat="1">
      <c r="B20" s="98" t="s">
        <v>168</v>
      </c>
    </row>
    <row r="22" spans="2:19" ht="13.5" thickBot="1">
      <c r="B22" s="84" t="s">
        <v>1</v>
      </c>
      <c r="C22" s="84" t="s">
        <v>25</v>
      </c>
      <c r="D22" s="84">
        <v>2021</v>
      </c>
      <c r="E22" s="84">
        <f>D22+1</f>
        <v>2022</v>
      </c>
      <c r="F22" s="84">
        <f t="shared" ref="F22:S22" si="18">E22+1</f>
        <v>2023</v>
      </c>
      <c r="G22" s="84">
        <f t="shared" si="18"/>
        <v>2024</v>
      </c>
      <c r="H22" s="84">
        <f t="shared" si="18"/>
        <v>2025</v>
      </c>
      <c r="I22" s="84">
        <f t="shared" si="18"/>
        <v>2026</v>
      </c>
      <c r="J22" s="84">
        <f t="shared" si="18"/>
        <v>2027</v>
      </c>
      <c r="K22" s="84">
        <f t="shared" si="18"/>
        <v>2028</v>
      </c>
      <c r="L22" s="84">
        <f t="shared" si="18"/>
        <v>2029</v>
      </c>
      <c r="M22" s="84">
        <f t="shared" si="18"/>
        <v>2030</v>
      </c>
      <c r="N22" s="84">
        <f t="shared" si="18"/>
        <v>2031</v>
      </c>
      <c r="O22" s="84">
        <f t="shared" si="18"/>
        <v>2032</v>
      </c>
      <c r="P22" s="84">
        <f t="shared" si="18"/>
        <v>2033</v>
      </c>
      <c r="Q22" s="84">
        <f t="shared" si="18"/>
        <v>2034</v>
      </c>
      <c r="R22" s="84">
        <f t="shared" si="18"/>
        <v>2035</v>
      </c>
      <c r="S22" s="84">
        <f t="shared" si="18"/>
        <v>2036</v>
      </c>
    </row>
    <row r="23" spans="2:19" ht="13.5" thickTop="1">
      <c r="B23" s="1" t="s">
        <v>160</v>
      </c>
      <c r="C23" s="54" t="s">
        <v>169</v>
      </c>
      <c r="D23" s="108">
        <f>PRODUCT(D5,ZAŁOŻENIA!$C$174,ZAŁOŻENIA!D201)/1000</f>
        <v>0</v>
      </c>
      <c r="E23" s="108">
        <f>PRODUCT(E5,ZAŁOŻENIA!$C$174,ZAŁOŻENIA!E201)/1000</f>
        <v>0</v>
      </c>
      <c r="F23" s="108">
        <f>PRODUCT(F5,ZAŁOŻENIA!$C$174,ZAŁOŻENIA!F201)/1000</f>
        <v>20.457580645161286</v>
      </c>
      <c r="G23" s="108">
        <f>PRODUCT(G5,ZAŁOŻENIA!$C$174,ZAŁOŻENIA!G201)/1000</f>
        <v>20.457580645161286</v>
      </c>
      <c r="H23" s="108">
        <f>PRODUCT(H5,ZAŁOŻENIA!$C$174,ZAŁOŻENIA!H201)/1000</f>
        <v>51.14395161290323</v>
      </c>
      <c r="I23" s="108">
        <f>PRODUCT(I5,ZAŁOŻENIA!$C$174,ZAŁOŻENIA!I201)/1000</f>
        <v>51.14395161290323</v>
      </c>
      <c r="J23" s="108">
        <f>PRODUCT(J5,ZAŁOŻENIA!$C$174,ZAŁOŻENIA!J201)/1000</f>
        <v>51.14395161290323</v>
      </c>
      <c r="K23" s="108">
        <f>PRODUCT(K5,ZAŁOŻENIA!$C$174,ZAŁOŻENIA!K201)/1000</f>
        <v>81.830322580645145</v>
      </c>
      <c r="L23" s="108">
        <f>PRODUCT(L5,ZAŁOŻENIA!$C$174,ZAŁOŻENIA!L201)/1000</f>
        <v>81.830322580645145</v>
      </c>
      <c r="M23" s="108">
        <f>PRODUCT(M5,ZAŁOŻENIA!$C$174,ZAŁOŻENIA!M201)/1000</f>
        <v>81.830322580645145</v>
      </c>
      <c r="N23" s="108">
        <f>PRODUCT(N5,ZAŁOŻENIA!$C$174,ZAŁOŻENIA!N201)/1000</f>
        <v>81.830322580645145</v>
      </c>
      <c r="O23" s="108">
        <f>PRODUCT(O5,ZAŁOŻENIA!$C$174,ZAŁOŻENIA!O201)/1000</f>
        <v>81.830322580645145</v>
      </c>
      <c r="P23" s="108">
        <f>PRODUCT(P5,ZAŁOŻENIA!$C$174,ZAŁOŻENIA!P201)/1000</f>
        <v>81.830322580645145</v>
      </c>
      <c r="Q23" s="108">
        <f>PRODUCT(Q5,ZAŁOŻENIA!$C$174,ZAŁOŻENIA!Q201)/1000</f>
        <v>81.830322580645145</v>
      </c>
      <c r="R23" s="108">
        <f>PRODUCT(R5,ZAŁOŻENIA!$C$174,ZAŁOŻENIA!R201)/1000</f>
        <v>81.830322580645145</v>
      </c>
      <c r="S23" s="108">
        <f>PRODUCT(S5,ZAŁOŻENIA!$C$174,ZAŁOŻENIA!S201)/1000</f>
        <v>81.830322580645145</v>
      </c>
    </row>
    <row r="24" spans="2:19">
      <c r="B24" s="1" t="s">
        <v>161</v>
      </c>
      <c r="C24" s="54" t="s">
        <v>169</v>
      </c>
      <c r="D24" s="107">
        <f>PRODUCT(D5,ZAŁOŻENIA!$E$174,ZAŁOŻENIA!$D$202)/1000</f>
        <v>0</v>
      </c>
      <c r="E24" s="107">
        <f>PRODUCT(E5,ZAŁOŻENIA!$E$174,ZAŁOŻENIA!$D$202)/1000</f>
        <v>0</v>
      </c>
      <c r="F24" s="107">
        <f>PRODUCT(F5,ZAŁOŻENIA!$E$174,ZAŁOŻENIA!$D$202)/1000</f>
        <v>71.891211599999991</v>
      </c>
      <c r="G24" s="107">
        <f>PRODUCT(G5,ZAŁOŻENIA!$E$174,ZAŁOŻENIA!$D$202)/1000</f>
        <v>71.891211599999991</v>
      </c>
      <c r="H24" s="107">
        <f>PRODUCT(H5,ZAŁOŻENIA!$E$174,ZAŁOŻENIA!$D$202)/1000</f>
        <v>179.72802900000005</v>
      </c>
      <c r="I24" s="107">
        <f>PRODUCT(I5,ZAŁOŻENIA!$E$174,ZAŁOŻENIA!$D$202)/1000</f>
        <v>179.72802900000005</v>
      </c>
      <c r="J24" s="107">
        <f>PRODUCT(J5,ZAŁOŻENIA!$E$174,ZAŁOŻENIA!$D$202)/1000</f>
        <v>179.72802900000005</v>
      </c>
      <c r="K24" s="107">
        <f>PRODUCT(K5,ZAŁOŻENIA!$E$174,ZAŁOŻENIA!$D$202)/1000</f>
        <v>287.56484639999996</v>
      </c>
      <c r="L24" s="107">
        <f>PRODUCT(L5,ZAŁOŻENIA!$E$174,ZAŁOŻENIA!$D$202)/1000</f>
        <v>287.56484639999996</v>
      </c>
      <c r="M24" s="107">
        <f>PRODUCT(M5,ZAŁOŻENIA!$E$174,ZAŁOŻENIA!$D$202)/1000</f>
        <v>287.56484639999996</v>
      </c>
      <c r="N24" s="107">
        <f>PRODUCT(N5,ZAŁOŻENIA!$E$174,ZAŁOŻENIA!$D$202)/1000</f>
        <v>287.56484639999996</v>
      </c>
      <c r="O24" s="107">
        <f>PRODUCT(O5,ZAŁOŻENIA!$E$174,ZAŁOŻENIA!$D$202)/1000</f>
        <v>287.56484639999996</v>
      </c>
      <c r="P24" s="107">
        <f>PRODUCT(P5,ZAŁOŻENIA!$E$174,ZAŁOŻENIA!$D$202)/1000</f>
        <v>287.56484639999996</v>
      </c>
      <c r="Q24" s="107">
        <f>PRODUCT(Q5,ZAŁOŻENIA!$E$174,ZAŁOŻENIA!$D$202)/1000</f>
        <v>287.56484639999996</v>
      </c>
      <c r="R24" s="107">
        <f>PRODUCT(R5,ZAŁOŻENIA!$E$174,ZAŁOŻENIA!$D$202)/1000</f>
        <v>287.56484639999996</v>
      </c>
      <c r="S24" s="107">
        <f>PRODUCT(S5,ZAŁOŻENIA!$E$174,ZAŁOŻENIA!$D$202)/1000</f>
        <v>287.56484639999996</v>
      </c>
    </row>
    <row r="25" spans="2:19">
      <c r="B25" s="1" t="s">
        <v>162</v>
      </c>
      <c r="C25" s="54" t="s">
        <v>169</v>
      </c>
      <c r="D25" s="109" t="s">
        <v>248</v>
      </c>
      <c r="E25" s="54" t="s">
        <v>248</v>
      </c>
      <c r="F25" s="54" t="s">
        <v>248</v>
      </c>
      <c r="G25" s="54" t="s">
        <v>248</v>
      </c>
      <c r="H25" s="54" t="s">
        <v>248</v>
      </c>
      <c r="I25" s="54" t="s">
        <v>248</v>
      </c>
      <c r="J25" s="54" t="s">
        <v>248</v>
      </c>
      <c r="K25" s="54" t="s">
        <v>248</v>
      </c>
      <c r="L25" s="54" t="s">
        <v>248</v>
      </c>
      <c r="M25" s="54" t="s">
        <v>248</v>
      </c>
      <c r="N25" s="54" t="s">
        <v>248</v>
      </c>
      <c r="O25" s="54" t="s">
        <v>248</v>
      </c>
      <c r="P25" s="54" t="s">
        <v>248</v>
      </c>
      <c r="Q25" s="54" t="s">
        <v>248</v>
      </c>
      <c r="R25" s="54" t="s">
        <v>248</v>
      </c>
      <c r="S25" s="54" t="s">
        <v>248</v>
      </c>
    </row>
    <row r="27" spans="2:19">
      <c r="B27" s="1" t="s">
        <v>170</v>
      </c>
    </row>
    <row r="28" spans="2:19" ht="13.5" thickBot="1">
      <c r="B28" s="84" t="s">
        <v>1</v>
      </c>
      <c r="C28" s="84" t="s">
        <v>25</v>
      </c>
      <c r="D28" s="84">
        <v>2021</v>
      </c>
      <c r="E28" s="84">
        <f>D28+1</f>
        <v>2022</v>
      </c>
      <c r="F28" s="84">
        <f t="shared" ref="F28:S28" si="19">E28+1</f>
        <v>2023</v>
      </c>
      <c r="G28" s="84">
        <f t="shared" si="19"/>
        <v>2024</v>
      </c>
      <c r="H28" s="84">
        <f t="shared" si="19"/>
        <v>2025</v>
      </c>
      <c r="I28" s="84">
        <f t="shared" si="19"/>
        <v>2026</v>
      </c>
      <c r="J28" s="84">
        <f t="shared" si="19"/>
        <v>2027</v>
      </c>
      <c r="K28" s="84">
        <f t="shared" si="19"/>
        <v>2028</v>
      </c>
      <c r="L28" s="84">
        <f t="shared" si="19"/>
        <v>2029</v>
      </c>
      <c r="M28" s="84">
        <f t="shared" si="19"/>
        <v>2030</v>
      </c>
      <c r="N28" s="84">
        <f t="shared" si="19"/>
        <v>2031</v>
      </c>
      <c r="O28" s="84">
        <f t="shared" si="19"/>
        <v>2032</v>
      </c>
      <c r="P28" s="84">
        <f t="shared" si="19"/>
        <v>2033</v>
      </c>
      <c r="Q28" s="84">
        <f t="shared" si="19"/>
        <v>2034</v>
      </c>
      <c r="R28" s="84">
        <f t="shared" si="19"/>
        <v>2035</v>
      </c>
      <c r="S28" s="84">
        <f t="shared" si="19"/>
        <v>2036</v>
      </c>
    </row>
    <row r="29" spans="2:19" ht="13.5" thickTop="1">
      <c r="B29" s="1" t="s">
        <v>161</v>
      </c>
      <c r="C29" s="54" t="s">
        <v>169</v>
      </c>
      <c r="D29" s="107">
        <f>-(D24-D23)</f>
        <v>0</v>
      </c>
      <c r="E29" s="107">
        <f t="shared" ref="E29:S29" si="20">-(E24-E23)</f>
        <v>0</v>
      </c>
      <c r="F29" s="107">
        <f t="shared" si="20"/>
        <v>-51.433630954838705</v>
      </c>
      <c r="G29" s="107">
        <f t="shared" si="20"/>
        <v>-51.433630954838705</v>
      </c>
      <c r="H29" s="107">
        <f t="shared" si="20"/>
        <v>-128.58407738709681</v>
      </c>
      <c r="I29" s="107">
        <f t="shared" si="20"/>
        <v>-128.58407738709681</v>
      </c>
      <c r="J29" s="107">
        <f t="shared" si="20"/>
        <v>-128.58407738709681</v>
      </c>
      <c r="K29" s="107">
        <f t="shared" si="20"/>
        <v>-205.73452381935482</v>
      </c>
      <c r="L29" s="107">
        <f t="shared" si="20"/>
        <v>-205.73452381935482</v>
      </c>
      <c r="M29" s="107">
        <f t="shared" si="20"/>
        <v>-205.73452381935482</v>
      </c>
      <c r="N29" s="107">
        <f t="shared" si="20"/>
        <v>-205.73452381935482</v>
      </c>
      <c r="O29" s="107">
        <f t="shared" si="20"/>
        <v>-205.73452381935482</v>
      </c>
      <c r="P29" s="107">
        <f t="shared" si="20"/>
        <v>-205.73452381935482</v>
      </c>
      <c r="Q29" s="107">
        <f t="shared" si="20"/>
        <v>-205.73452381935482</v>
      </c>
      <c r="R29" s="107">
        <f t="shared" si="20"/>
        <v>-205.73452381935482</v>
      </c>
      <c r="S29" s="107">
        <f t="shared" si="20"/>
        <v>-205.73452381935482</v>
      </c>
    </row>
    <row r="30" spans="2:19">
      <c r="B30" s="1" t="s">
        <v>162</v>
      </c>
      <c r="C30" s="54" t="s">
        <v>169</v>
      </c>
      <c r="D30" s="108">
        <f>IF(D25="bd",0,-(D25-D23))</f>
        <v>0</v>
      </c>
      <c r="E30" s="108">
        <f t="shared" ref="E30:S30" si="21">IF(E25="bd",0,-(E25-E23))</f>
        <v>0</v>
      </c>
      <c r="F30" s="108">
        <f t="shared" si="21"/>
        <v>0</v>
      </c>
      <c r="G30" s="108">
        <f t="shared" si="21"/>
        <v>0</v>
      </c>
      <c r="H30" s="108">
        <f t="shared" si="21"/>
        <v>0</v>
      </c>
      <c r="I30" s="108">
        <f t="shared" si="21"/>
        <v>0</v>
      </c>
      <c r="J30" s="108">
        <f t="shared" si="21"/>
        <v>0</v>
      </c>
      <c r="K30" s="108">
        <f t="shared" si="21"/>
        <v>0</v>
      </c>
      <c r="L30" s="108">
        <f t="shared" si="21"/>
        <v>0</v>
      </c>
      <c r="M30" s="108">
        <f t="shared" si="21"/>
        <v>0</v>
      </c>
      <c r="N30" s="108">
        <f t="shared" si="21"/>
        <v>0</v>
      </c>
      <c r="O30" s="108">
        <f t="shared" si="21"/>
        <v>0</v>
      </c>
      <c r="P30" s="108">
        <f t="shared" si="21"/>
        <v>0</v>
      </c>
      <c r="Q30" s="108">
        <f t="shared" si="21"/>
        <v>0</v>
      </c>
      <c r="R30" s="108">
        <f t="shared" si="21"/>
        <v>0</v>
      </c>
      <c r="S30" s="108">
        <f t="shared" si="21"/>
        <v>0</v>
      </c>
    </row>
    <row r="33" spans="2:19" s="98" customFormat="1">
      <c r="B33" s="98" t="s">
        <v>171</v>
      </c>
    </row>
    <row r="35" spans="2:19">
      <c r="B35" s="98" t="s">
        <v>172</v>
      </c>
    </row>
    <row r="37" spans="2:19" ht="13.5" thickBot="1">
      <c r="B37" s="84" t="s">
        <v>1</v>
      </c>
      <c r="C37" s="84" t="s">
        <v>25</v>
      </c>
      <c r="D37" s="84">
        <v>2021</v>
      </c>
      <c r="E37" s="84">
        <f>D37+1</f>
        <v>2022</v>
      </c>
      <c r="F37" s="84">
        <f t="shared" ref="F37:S37" si="22">E37+1</f>
        <v>2023</v>
      </c>
      <c r="G37" s="84">
        <f t="shared" si="22"/>
        <v>2024</v>
      </c>
      <c r="H37" s="84">
        <f t="shared" si="22"/>
        <v>2025</v>
      </c>
      <c r="I37" s="84">
        <f t="shared" si="22"/>
        <v>2026</v>
      </c>
      <c r="J37" s="84">
        <f t="shared" si="22"/>
        <v>2027</v>
      </c>
      <c r="K37" s="84">
        <f t="shared" si="22"/>
        <v>2028</v>
      </c>
      <c r="L37" s="84">
        <f t="shared" si="22"/>
        <v>2029</v>
      </c>
      <c r="M37" s="84">
        <f t="shared" si="22"/>
        <v>2030</v>
      </c>
      <c r="N37" s="84">
        <f t="shared" si="22"/>
        <v>2031</v>
      </c>
      <c r="O37" s="84">
        <f t="shared" si="22"/>
        <v>2032</v>
      </c>
      <c r="P37" s="84">
        <f t="shared" si="22"/>
        <v>2033</v>
      </c>
      <c r="Q37" s="84">
        <f t="shared" si="22"/>
        <v>2034</v>
      </c>
      <c r="R37" s="84">
        <f t="shared" si="22"/>
        <v>2035</v>
      </c>
      <c r="S37" s="84">
        <f t="shared" si="22"/>
        <v>2036</v>
      </c>
    </row>
    <row r="38" spans="2:19" ht="13.5" thickTop="1">
      <c r="B38" s="1" t="s">
        <v>160</v>
      </c>
      <c r="C38" s="1" t="s">
        <v>177</v>
      </c>
      <c r="D38" s="107">
        <f>PRODUCT(D5,ZAŁOŻENIA!$C$209)/1000000</f>
        <v>0</v>
      </c>
      <c r="E38" s="107">
        <f>PRODUCT(E5,ZAŁOŻENIA!$C$209)/1000000</f>
        <v>0</v>
      </c>
      <c r="F38" s="107">
        <f>PRODUCT(F5,ZAŁOŻENIA!$C$209)/1000000</f>
        <v>4.787073870967741E-2</v>
      </c>
      <c r="G38" s="107">
        <f>PRODUCT(G5,ZAŁOŻENIA!$C$209)/1000000</f>
        <v>4.787073870967741E-2</v>
      </c>
      <c r="H38" s="107">
        <f>PRODUCT(H5,ZAŁOŻENIA!$C$209)/1000000</f>
        <v>0.11967684677419355</v>
      </c>
      <c r="I38" s="107">
        <f>PRODUCT(I5,ZAŁOŻENIA!$C$209)/1000000</f>
        <v>0.11967684677419355</v>
      </c>
      <c r="J38" s="107">
        <f>PRODUCT(J5,ZAŁOŻENIA!$C$209)/1000000</f>
        <v>0.11967684677419355</v>
      </c>
      <c r="K38" s="107">
        <f>PRODUCT(K5,ZAŁOŻENIA!$C$209)/1000000</f>
        <v>0.19148295483870964</v>
      </c>
      <c r="L38" s="107">
        <f>PRODUCT(L5,ZAŁOŻENIA!$C$209)/1000000</f>
        <v>0.19148295483870964</v>
      </c>
      <c r="M38" s="107">
        <f>PRODUCT(M5,ZAŁOŻENIA!$C$209)/1000000</f>
        <v>0.19148295483870964</v>
      </c>
      <c r="N38" s="107">
        <f>PRODUCT(N5,ZAŁOŻENIA!$C$209)/1000000</f>
        <v>0.19148295483870964</v>
      </c>
      <c r="O38" s="107">
        <f>PRODUCT(O5,ZAŁOŻENIA!$C$209)/1000000</f>
        <v>0.19148295483870964</v>
      </c>
      <c r="P38" s="107">
        <f>PRODUCT(P5,ZAŁOŻENIA!$C$209)/1000000</f>
        <v>0.19148295483870964</v>
      </c>
      <c r="Q38" s="107">
        <f>PRODUCT(Q5,ZAŁOŻENIA!$C$209)/1000000</f>
        <v>0.19148295483870964</v>
      </c>
      <c r="R38" s="107">
        <f>PRODUCT(R5,ZAŁOŻENIA!$C$209)/1000000</f>
        <v>0.19148295483870964</v>
      </c>
      <c r="S38" s="107">
        <f>PRODUCT(S5,ZAŁOŻENIA!$C$209)/1000000</f>
        <v>0.19148295483870964</v>
      </c>
    </row>
    <row r="39" spans="2:19">
      <c r="B39" s="1" t="s">
        <v>161</v>
      </c>
      <c r="C39" s="1" t="s">
        <v>177</v>
      </c>
      <c r="D39" s="110">
        <f>PRODUCT(D5,ZAŁOŻENIA!$C$210)/1000000</f>
        <v>0</v>
      </c>
      <c r="E39" s="110">
        <f>PRODUCT(E5,ZAŁOŻENIA!$C$210)/1000000</f>
        <v>0</v>
      </c>
      <c r="F39" s="110">
        <f>PRODUCT(F5,ZAŁOŻENIA!$C$210)/1000000</f>
        <v>4.949097909677418E-4</v>
      </c>
      <c r="G39" s="110">
        <f>PRODUCT(G5,ZAŁOŻENIA!$C$210)/1000000</f>
        <v>4.949097909677418E-4</v>
      </c>
      <c r="H39" s="110">
        <f>PRODUCT(H5,ZAŁOŻENIA!$C$210)/1000000</f>
        <v>1.2372744774193545E-3</v>
      </c>
      <c r="I39" s="110">
        <f>PRODUCT(I5,ZAŁOŻENIA!$C$210)/1000000</f>
        <v>1.2372744774193545E-3</v>
      </c>
      <c r="J39" s="110">
        <f>PRODUCT(J5,ZAŁOŻENIA!$C$210)/1000000</f>
        <v>1.2372744774193545E-3</v>
      </c>
      <c r="K39" s="110">
        <f>PRODUCT(K5,ZAŁOŻENIA!$C$210)/1000000</f>
        <v>1.9796391638709672E-3</v>
      </c>
      <c r="L39" s="110">
        <f>PRODUCT(L5,ZAŁOŻENIA!$C$210)/1000000</f>
        <v>1.9796391638709672E-3</v>
      </c>
      <c r="M39" s="110">
        <f>PRODUCT(M5,ZAŁOŻENIA!$C$210)/1000000</f>
        <v>1.9796391638709672E-3</v>
      </c>
      <c r="N39" s="110">
        <f>PRODUCT(N5,ZAŁOŻENIA!$C$210)/1000000</f>
        <v>1.9796391638709672E-3</v>
      </c>
      <c r="O39" s="110">
        <f>PRODUCT(O5,ZAŁOŻENIA!$C$210)/1000000</f>
        <v>1.9796391638709672E-3</v>
      </c>
      <c r="P39" s="110">
        <f>PRODUCT(P5,ZAŁOŻENIA!$C$210)/1000000</f>
        <v>1.9796391638709672E-3</v>
      </c>
      <c r="Q39" s="110">
        <f>PRODUCT(Q5,ZAŁOŻENIA!$C$210)/1000000</f>
        <v>1.9796391638709672E-3</v>
      </c>
      <c r="R39" s="110">
        <f>PRODUCT(R5,ZAŁOŻENIA!$C$210)/1000000</f>
        <v>1.9796391638709672E-3</v>
      </c>
      <c r="S39" s="110">
        <f>PRODUCT(S5,ZAŁOŻENIA!$C$210)/1000000</f>
        <v>1.9796391638709672E-3</v>
      </c>
    </row>
    <row r="40" spans="2:19">
      <c r="B40" s="1" t="s">
        <v>162</v>
      </c>
      <c r="C40" s="1" t="s">
        <v>177</v>
      </c>
      <c r="D40" s="110">
        <f>IF(ZAŁOŻENIA!$C$211="bd",0,(D5*ZAŁOŻENIA!$C$211)/1000000)</f>
        <v>0</v>
      </c>
      <c r="E40" s="110">
        <f>IF(ZAŁOŻENIA!$C$211="bd",0,(E5*ZAŁOŻENIA!$C$211)/1000000)</f>
        <v>0</v>
      </c>
      <c r="F40" s="110">
        <f>IF(ZAŁOŻENIA!$C$211="bd",0,(F5*ZAŁOŻENIA!$C$211)/1000000)</f>
        <v>0</v>
      </c>
      <c r="G40" s="110">
        <f>IF(ZAŁOŻENIA!$C$211="bd",0,(G5*ZAŁOŻENIA!$C$211)/1000000)</f>
        <v>0</v>
      </c>
      <c r="H40" s="110">
        <f>IF(ZAŁOŻENIA!$C$211="bd",0,(H5*ZAŁOŻENIA!$C$211)/1000000)</f>
        <v>0</v>
      </c>
      <c r="I40" s="110">
        <f>IF(ZAŁOŻENIA!$C$211="bd",0,(I5*ZAŁOŻENIA!$C$211)/1000000)</f>
        <v>0</v>
      </c>
      <c r="J40" s="110">
        <f>IF(ZAŁOŻENIA!$C$211="bd",0,(J5*ZAŁOŻENIA!$C$211)/1000000)</f>
        <v>0</v>
      </c>
      <c r="K40" s="110">
        <f>IF(ZAŁOŻENIA!$C$211="bd",0,(K5*ZAŁOŻENIA!$C$211)/1000000)</f>
        <v>0</v>
      </c>
      <c r="L40" s="110">
        <f>IF(ZAŁOŻENIA!$C$211="bd",0,(L5*ZAŁOŻENIA!$C$211)/1000000)</f>
        <v>0</v>
      </c>
      <c r="M40" s="110">
        <f>IF(ZAŁOŻENIA!$C$211="bd",0,(M5*ZAŁOŻENIA!$C$211)/1000000)</f>
        <v>0</v>
      </c>
      <c r="N40" s="110">
        <f>IF(ZAŁOŻENIA!$C$211="bd",0,(N5*ZAŁOŻENIA!$C$211)/1000000)</f>
        <v>0</v>
      </c>
      <c r="O40" s="110">
        <f>IF(ZAŁOŻENIA!$C$211="bd",0,(O5*ZAŁOŻENIA!$C$211)/1000000)</f>
        <v>0</v>
      </c>
      <c r="P40" s="110">
        <f>IF(ZAŁOŻENIA!$C$211="bd",0,(P5*ZAŁOŻENIA!$C$211)/1000000)</f>
        <v>0</v>
      </c>
      <c r="Q40" s="110">
        <f>IF(ZAŁOŻENIA!$C$211="bd",0,(Q5*ZAŁOŻENIA!$C$211)/1000000)</f>
        <v>0</v>
      </c>
      <c r="R40" s="110">
        <f>IF(ZAŁOŻENIA!$C$211="bd",0,(R5*ZAŁOŻENIA!$C$211)/1000000)</f>
        <v>0</v>
      </c>
      <c r="S40" s="110">
        <f>IF(ZAŁOŻENIA!$C$211="bd",0,(S5*ZAŁOŻENIA!$C$211)/1000000)</f>
        <v>0</v>
      </c>
    </row>
    <row r="42" spans="2:19">
      <c r="B42" s="1" t="s">
        <v>173</v>
      </c>
    </row>
    <row r="43" spans="2:19" ht="13.5" thickBot="1">
      <c r="B43" s="84" t="s">
        <v>1</v>
      </c>
      <c r="C43" s="84" t="s">
        <v>25</v>
      </c>
      <c r="D43" s="84">
        <v>2021</v>
      </c>
      <c r="E43" s="84">
        <f>D43+1</f>
        <v>2022</v>
      </c>
      <c r="F43" s="84">
        <f t="shared" ref="F43:S43" si="23">E43+1</f>
        <v>2023</v>
      </c>
      <c r="G43" s="84">
        <f t="shared" si="23"/>
        <v>2024</v>
      </c>
      <c r="H43" s="84">
        <f t="shared" si="23"/>
        <v>2025</v>
      </c>
      <c r="I43" s="84">
        <f t="shared" si="23"/>
        <v>2026</v>
      </c>
      <c r="J43" s="84">
        <f t="shared" si="23"/>
        <v>2027</v>
      </c>
      <c r="K43" s="84">
        <f t="shared" si="23"/>
        <v>2028</v>
      </c>
      <c r="L43" s="84">
        <f t="shared" si="23"/>
        <v>2029</v>
      </c>
      <c r="M43" s="84">
        <f t="shared" si="23"/>
        <v>2030</v>
      </c>
      <c r="N43" s="84">
        <f t="shared" si="23"/>
        <v>2031</v>
      </c>
      <c r="O43" s="84">
        <f t="shared" si="23"/>
        <v>2032</v>
      </c>
      <c r="P43" s="84">
        <f t="shared" si="23"/>
        <v>2033</v>
      </c>
      <c r="Q43" s="84">
        <f t="shared" si="23"/>
        <v>2034</v>
      </c>
      <c r="R43" s="84">
        <f t="shared" si="23"/>
        <v>2035</v>
      </c>
      <c r="S43" s="84">
        <f t="shared" si="23"/>
        <v>2036</v>
      </c>
    </row>
    <row r="44" spans="2:19" ht="13.5" thickTop="1">
      <c r="B44" s="1" t="s">
        <v>161</v>
      </c>
      <c r="C44" s="1" t="s">
        <v>177</v>
      </c>
      <c r="D44" s="107">
        <f>-(D39-D$38)</f>
        <v>0</v>
      </c>
      <c r="E44" s="107">
        <f t="shared" ref="E44:S44" si="24">-(E39-E$38)</f>
        <v>0</v>
      </c>
      <c r="F44" s="107">
        <f t="shared" si="24"/>
        <v>4.7375828918709666E-2</v>
      </c>
      <c r="G44" s="107">
        <f t="shared" si="24"/>
        <v>4.7375828918709666E-2</v>
      </c>
      <c r="H44" s="107">
        <f t="shared" si="24"/>
        <v>0.1184395722967742</v>
      </c>
      <c r="I44" s="107">
        <f t="shared" si="24"/>
        <v>0.1184395722967742</v>
      </c>
      <c r="J44" s="107">
        <f t="shared" si="24"/>
        <v>0.1184395722967742</v>
      </c>
      <c r="K44" s="107">
        <f t="shared" si="24"/>
        <v>0.18950331567483866</v>
      </c>
      <c r="L44" s="107">
        <f t="shared" si="24"/>
        <v>0.18950331567483866</v>
      </c>
      <c r="M44" s="107">
        <f t="shared" si="24"/>
        <v>0.18950331567483866</v>
      </c>
      <c r="N44" s="107">
        <f t="shared" si="24"/>
        <v>0.18950331567483866</v>
      </c>
      <c r="O44" s="107">
        <f t="shared" si="24"/>
        <v>0.18950331567483866</v>
      </c>
      <c r="P44" s="107">
        <f t="shared" si="24"/>
        <v>0.18950331567483866</v>
      </c>
      <c r="Q44" s="107">
        <f t="shared" si="24"/>
        <v>0.18950331567483866</v>
      </c>
      <c r="R44" s="107">
        <f t="shared" si="24"/>
        <v>0.18950331567483866</v>
      </c>
      <c r="S44" s="107">
        <f t="shared" si="24"/>
        <v>0.18950331567483866</v>
      </c>
    </row>
    <row r="45" spans="2:19">
      <c r="B45" s="1" t="s">
        <v>162</v>
      </c>
      <c r="C45" s="1" t="s">
        <v>177</v>
      </c>
      <c r="D45" s="107">
        <f>IF(D40=0,0,-(D40-D$38))</f>
        <v>0</v>
      </c>
      <c r="E45" s="107">
        <f t="shared" ref="E45:S45" si="25">IF(E40=0,0,-(E40-E$38))</f>
        <v>0</v>
      </c>
      <c r="F45" s="107">
        <f t="shared" si="25"/>
        <v>0</v>
      </c>
      <c r="G45" s="107">
        <f t="shared" si="25"/>
        <v>0</v>
      </c>
      <c r="H45" s="107">
        <f t="shared" si="25"/>
        <v>0</v>
      </c>
      <c r="I45" s="107">
        <f t="shared" si="25"/>
        <v>0</v>
      </c>
      <c r="J45" s="107">
        <f t="shared" si="25"/>
        <v>0</v>
      </c>
      <c r="K45" s="107">
        <f t="shared" si="25"/>
        <v>0</v>
      </c>
      <c r="L45" s="107">
        <f t="shared" si="25"/>
        <v>0</v>
      </c>
      <c r="M45" s="107">
        <f t="shared" si="25"/>
        <v>0</v>
      </c>
      <c r="N45" s="107">
        <f t="shared" si="25"/>
        <v>0</v>
      </c>
      <c r="O45" s="107">
        <f t="shared" si="25"/>
        <v>0</v>
      </c>
      <c r="P45" s="107">
        <f t="shared" si="25"/>
        <v>0</v>
      </c>
      <c r="Q45" s="107">
        <f t="shared" si="25"/>
        <v>0</v>
      </c>
      <c r="R45" s="107">
        <f t="shared" si="25"/>
        <v>0</v>
      </c>
      <c r="S45" s="107">
        <f t="shared" si="25"/>
        <v>0</v>
      </c>
    </row>
    <row r="47" spans="2:19">
      <c r="B47" s="98" t="s">
        <v>176</v>
      </c>
    </row>
    <row r="49" spans="2:19" ht="13.5" thickBot="1">
      <c r="B49" s="84" t="s">
        <v>1</v>
      </c>
      <c r="C49" s="84" t="s">
        <v>25</v>
      </c>
      <c r="D49" s="84">
        <v>2021</v>
      </c>
      <c r="E49" s="84">
        <f>D49+1</f>
        <v>2022</v>
      </c>
      <c r="F49" s="84">
        <f t="shared" ref="F49:S49" si="26">E49+1</f>
        <v>2023</v>
      </c>
      <c r="G49" s="84">
        <f t="shared" si="26"/>
        <v>2024</v>
      </c>
      <c r="H49" s="84">
        <f t="shared" si="26"/>
        <v>2025</v>
      </c>
      <c r="I49" s="84">
        <f t="shared" si="26"/>
        <v>2026</v>
      </c>
      <c r="J49" s="84">
        <f t="shared" si="26"/>
        <v>2027</v>
      </c>
      <c r="K49" s="84">
        <f t="shared" si="26"/>
        <v>2028</v>
      </c>
      <c r="L49" s="84">
        <f t="shared" si="26"/>
        <v>2029</v>
      </c>
      <c r="M49" s="84">
        <f t="shared" si="26"/>
        <v>2030</v>
      </c>
      <c r="N49" s="84">
        <f t="shared" si="26"/>
        <v>2031</v>
      </c>
      <c r="O49" s="84">
        <f t="shared" si="26"/>
        <v>2032</v>
      </c>
      <c r="P49" s="84">
        <f t="shared" si="26"/>
        <v>2033</v>
      </c>
      <c r="Q49" s="84">
        <f t="shared" si="26"/>
        <v>2034</v>
      </c>
      <c r="R49" s="84">
        <f t="shared" si="26"/>
        <v>2035</v>
      </c>
      <c r="S49" s="84">
        <f t="shared" si="26"/>
        <v>2036</v>
      </c>
    </row>
    <row r="50" spans="2:19" ht="13.5" thickTop="1">
      <c r="B50" s="1" t="s">
        <v>160</v>
      </c>
      <c r="C50" s="1" t="s">
        <v>178</v>
      </c>
      <c r="D50" s="107">
        <f>PRODUCT(D5,ZAŁOŻENIA!$D$209)/1000000</f>
        <v>0</v>
      </c>
      <c r="E50" s="107">
        <f>PRODUCT(E5,ZAŁOŻENIA!$D$209)/1000000</f>
        <v>0</v>
      </c>
      <c r="F50" s="107">
        <f>PRODUCT(F5,ZAŁOŻENIA!$D$209)/1000000</f>
        <v>0.14729458064516127</v>
      </c>
      <c r="G50" s="107">
        <f>PRODUCT(G5,ZAŁOŻENIA!$D$209)/1000000</f>
        <v>0.14729458064516127</v>
      </c>
      <c r="H50" s="107">
        <f>PRODUCT(H5,ZAŁOŻENIA!$D$209)/1000000</f>
        <v>0.36823645161290325</v>
      </c>
      <c r="I50" s="107">
        <f>PRODUCT(I5,ZAŁOŻENIA!$D$209)/1000000</f>
        <v>0.36823645161290325</v>
      </c>
      <c r="J50" s="107">
        <f>PRODUCT(J5,ZAŁOŻENIA!$D$209)/1000000</f>
        <v>0.36823645161290325</v>
      </c>
      <c r="K50" s="107">
        <f>PRODUCT(K5,ZAŁOŻENIA!$D$209)/1000000</f>
        <v>0.58917832258064506</v>
      </c>
      <c r="L50" s="107">
        <f>PRODUCT(L5,ZAŁOŻENIA!$D$209)/1000000</f>
        <v>0.58917832258064506</v>
      </c>
      <c r="M50" s="107">
        <f>PRODUCT(M5,ZAŁOŻENIA!$D$209)/1000000</f>
        <v>0.58917832258064506</v>
      </c>
      <c r="N50" s="107">
        <f>PRODUCT(N5,ZAŁOŻENIA!$D$209)/1000000</f>
        <v>0.58917832258064506</v>
      </c>
      <c r="O50" s="107">
        <f>PRODUCT(O5,ZAŁOŻENIA!$D$209)/1000000</f>
        <v>0.58917832258064506</v>
      </c>
      <c r="P50" s="107">
        <f>PRODUCT(P5,ZAŁOŻENIA!$D$209)/1000000</f>
        <v>0.58917832258064506</v>
      </c>
      <c r="Q50" s="107">
        <f>PRODUCT(Q5,ZAŁOŻENIA!$D$209)/1000000</f>
        <v>0.58917832258064506</v>
      </c>
      <c r="R50" s="107">
        <f>PRODUCT(R5,ZAŁOŻENIA!$D$209)/1000000</f>
        <v>0.58917832258064506</v>
      </c>
      <c r="S50" s="107">
        <f>PRODUCT(S5,ZAŁOŻENIA!$D$209)/1000000</f>
        <v>0.58917832258064506</v>
      </c>
    </row>
    <row r="51" spans="2:19">
      <c r="B51" s="1" t="s">
        <v>161</v>
      </c>
      <c r="C51" s="1" t="s">
        <v>178</v>
      </c>
      <c r="D51" s="110">
        <f>PRODUCT(D5,ZAŁOŻENIA!$D$210)/1000000</f>
        <v>0</v>
      </c>
      <c r="E51" s="110">
        <f>PRODUCT(E5,ZAŁOŻENIA!$D$210)/1000000</f>
        <v>0</v>
      </c>
      <c r="F51" s="110">
        <f>PRODUCT(F5,ZAŁOŻENIA!$D$210)/1000000</f>
        <v>0.10711261904516127</v>
      </c>
      <c r="G51" s="110">
        <f>PRODUCT(G5,ZAŁOŻENIA!$D$210)/1000000</f>
        <v>0.10711261904516127</v>
      </c>
      <c r="H51" s="110">
        <f>PRODUCT(H5,ZAŁOŻENIA!$D$210)/1000000</f>
        <v>0.26778154761290324</v>
      </c>
      <c r="I51" s="110">
        <f>PRODUCT(I5,ZAŁOŻENIA!$D$210)/1000000</f>
        <v>0.26778154761290324</v>
      </c>
      <c r="J51" s="110">
        <f>PRODUCT(J5,ZAŁOŻENIA!$D$210)/1000000</f>
        <v>0.26778154761290324</v>
      </c>
      <c r="K51" s="110">
        <f>PRODUCT(K5,ZAŁOŻENIA!$D$210)/1000000</f>
        <v>0.42845047618064508</v>
      </c>
      <c r="L51" s="110">
        <f>PRODUCT(L5,ZAŁOŻENIA!$D$210)/1000000</f>
        <v>0.42845047618064508</v>
      </c>
      <c r="M51" s="110">
        <f>PRODUCT(M5,ZAŁOŻENIA!$D$210)/1000000</f>
        <v>0.42845047618064508</v>
      </c>
      <c r="N51" s="110">
        <f>PRODUCT(N5,ZAŁOŻENIA!$D$210)/1000000</f>
        <v>0.42845047618064508</v>
      </c>
      <c r="O51" s="110">
        <f>PRODUCT(O5,ZAŁOŻENIA!$D$210)/1000000</f>
        <v>0.42845047618064508</v>
      </c>
      <c r="P51" s="110">
        <f>PRODUCT(P5,ZAŁOŻENIA!$D$210)/1000000</f>
        <v>0.42845047618064508</v>
      </c>
      <c r="Q51" s="110">
        <f>PRODUCT(Q5,ZAŁOŻENIA!$D$210)/1000000</f>
        <v>0.42845047618064508</v>
      </c>
      <c r="R51" s="110">
        <f>PRODUCT(R5,ZAŁOŻENIA!$D$210)/1000000</f>
        <v>0.42845047618064508</v>
      </c>
      <c r="S51" s="110">
        <f>PRODUCT(S5,ZAŁOŻENIA!$D$210)/1000000</f>
        <v>0.42845047618064508</v>
      </c>
    </row>
    <row r="52" spans="2:19">
      <c r="B52" s="1" t="s">
        <v>162</v>
      </c>
      <c r="C52" s="1" t="s">
        <v>178</v>
      </c>
      <c r="D52" s="110">
        <f>IF(ZAŁOŻENIA!$D$211="bd",0,(D5*ZAŁOŻENIA!$D$211)/1000000)</f>
        <v>0</v>
      </c>
      <c r="E52" s="110">
        <f>IF(ZAŁOŻENIA!$D$211="bd",0,(E5*ZAŁOŻENIA!$D$211)/1000000)</f>
        <v>0</v>
      </c>
      <c r="F52" s="110">
        <f>IF(ZAŁOŻENIA!$D$211="bd",0,(F5*ZAŁOŻENIA!$D$211)/1000000)</f>
        <v>0</v>
      </c>
      <c r="G52" s="110">
        <f>IF(ZAŁOŻENIA!$D$211="bd",0,(G5*ZAŁOŻENIA!$D$211)/1000000)</f>
        <v>0</v>
      </c>
      <c r="H52" s="110">
        <f>IF(ZAŁOŻENIA!$D$211="bd",0,(H5*ZAŁOŻENIA!$D$211)/1000000)</f>
        <v>0</v>
      </c>
      <c r="I52" s="110">
        <f>IF(ZAŁOŻENIA!$D$211="bd",0,(I5*ZAŁOŻENIA!$D$211)/1000000)</f>
        <v>0</v>
      </c>
      <c r="J52" s="110">
        <f>IF(ZAŁOŻENIA!$D$211="bd",0,(J5*ZAŁOŻENIA!$D$211)/1000000)</f>
        <v>0</v>
      </c>
      <c r="K52" s="110">
        <f>IF(ZAŁOŻENIA!$D$211="bd",0,(K5*ZAŁOŻENIA!$D$211)/1000000)</f>
        <v>0</v>
      </c>
      <c r="L52" s="110">
        <f>IF(ZAŁOŻENIA!$D$211="bd",0,(L5*ZAŁOŻENIA!$D$211)/1000000)</f>
        <v>0</v>
      </c>
      <c r="M52" s="110">
        <f>IF(ZAŁOŻENIA!$D$211="bd",0,(M5*ZAŁOŻENIA!$D$211)/1000000)</f>
        <v>0</v>
      </c>
      <c r="N52" s="110">
        <f>IF(ZAŁOŻENIA!$D$211="bd",0,(N5*ZAŁOŻENIA!$D$211)/1000000)</f>
        <v>0</v>
      </c>
      <c r="O52" s="110">
        <f>IF(ZAŁOŻENIA!$D$211="bd",0,(O5*ZAŁOŻENIA!$D$211)/1000000)</f>
        <v>0</v>
      </c>
      <c r="P52" s="110">
        <f>IF(ZAŁOŻENIA!$D$211="bd",0,(P5*ZAŁOŻENIA!$D$211)/1000000)</f>
        <v>0</v>
      </c>
      <c r="Q52" s="110">
        <f>IF(ZAŁOŻENIA!$D$211="bd",0,(Q5*ZAŁOŻENIA!$D$211)/1000000)</f>
        <v>0</v>
      </c>
      <c r="R52" s="110">
        <f>IF(ZAŁOŻENIA!$D$211="bd",0,(R5*ZAŁOŻENIA!$D$211)/1000000)</f>
        <v>0</v>
      </c>
      <c r="S52" s="110">
        <f>IF(ZAŁOŻENIA!$D$211="bd",0,(S5*ZAŁOŻENIA!$D$211)/1000000)</f>
        <v>0</v>
      </c>
    </row>
    <row r="54" spans="2:19">
      <c r="B54" s="1" t="s">
        <v>173</v>
      </c>
    </row>
    <row r="55" spans="2:19" ht="13.5" thickBot="1">
      <c r="B55" s="84" t="s">
        <v>1</v>
      </c>
      <c r="C55" s="84" t="s">
        <v>25</v>
      </c>
      <c r="D55" s="84">
        <v>2021</v>
      </c>
      <c r="E55" s="84">
        <f>D55+1</f>
        <v>2022</v>
      </c>
      <c r="F55" s="84">
        <f t="shared" ref="F55:S55" si="27">E55+1</f>
        <v>2023</v>
      </c>
      <c r="G55" s="84">
        <f t="shared" si="27"/>
        <v>2024</v>
      </c>
      <c r="H55" s="84">
        <f t="shared" si="27"/>
        <v>2025</v>
      </c>
      <c r="I55" s="84">
        <f t="shared" si="27"/>
        <v>2026</v>
      </c>
      <c r="J55" s="84">
        <f t="shared" si="27"/>
        <v>2027</v>
      </c>
      <c r="K55" s="84">
        <f t="shared" si="27"/>
        <v>2028</v>
      </c>
      <c r="L55" s="84">
        <f t="shared" si="27"/>
        <v>2029</v>
      </c>
      <c r="M55" s="84">
        <f t="shared" si="27"/>
        <v>2030</v>
      </c>
      <c r="N55" s="84">
        <f t="shared" si="27"/>
        <v>2031</v>
      </c>
      <c r="O55" s="84">
        <f t="shared" si="27"/>
        <v>2032</v>
      </c>
      <c r="P55" s="84">
        <f t="shared" si="27"/>
        <v>2033</v>
      </c>
      <c r="Q55" s="84">
        <f t="shared" si="27"/>
        <v>2034</v>
      </c>
      <c r="R55" s="84">
        <f t="shared" si="27"/>
        <v>2035</v>
      </c>
      <c r="S55" s="84">
        <f t="shared" si="27"/>
        <v>2036</v>
      </c>
    </row>
    <row r="56" spans="2:19" ht="13.5" thickTop="1">
      <c r="B56" s="1" t="s">
        <v>161</v>
      </c>
      <c r="C56" s="1" t="s">
        <v>178</v>
      </c>
      <c r="D56" s="107">
        <f>-(D51-D$50)</f>
        <v>0</v>
      </c>
      <c r="E56" s="107">
        <f t="shared" ref="E56:S56" si="28">-(E51-E$50)</f>
        <v>0</v>
      </c>
      <c r="F56" s="107">
        <f t="shared" si="28"/>
        <v>4.0181961599999996E-2</v>
      </c>
      <c r="G56" s="107">
        <f t="shared" si="28"/>
        <v>4.0181961599999996E-2</v>
      </c>
      <c r="H56" s="107">
        <f t="shared" si="28"/>
        <v>0.10045490400000001</v>
      </c>
      <c r="I56" s="107">
        <f t="shared" si="28"/>
        <v>0.10045490400000001</v>
      </c>
      <c r="J56" s="107">
        <f t="shared" si="28"/>
        <v>0.10045490400000001</v>
      </c>
      <c r="K56" s="107">
        <f t="shared" si="28"/>
        <v>0.16072784639999999</v>
      </c>
      <c r="L56" s="107">
        <f t="shared" si="28"/>
        <v>0.16072784639999999</v>
      </c>
      <c r="M56" s="107">
        <f t="shared" si="28"/>
        <v>0.16072784639999999</v>
      </c>
      <c r="N56" s="107">
        <f t="shared" si="28"/>
        <v>0.16072784639999999</v>
      </c>
      <c r="O56" s="107">
        <f t="shared" si="28"/>
        <v>0.16072784639999999</v>
      </c>
      <c r="P56" s="107">
        <f t="shared" si="28"/>
        <v>0.16072784639999999</v>
      </c>
      <c r="Q56" s="107">
        <f t="shared" si="28"/>
        <v>0.16072784639999999</v>
      </c>
      <c r="R56" s="107">
        <f t="shared" si="28"/>
        <v>0.16072784639999999</v>
      </c>
      <c r="S56" s="107">
        <f t="shared" si="28"/>
        <v>0.16072784639999999</v>
      </c>
    </row>
    <row r="57" spans="2:19">
      <c r="B57" s="1" t="s">
        <v>162</v>
      </c>
      <c r="C57" s="1" t="s">
        <v>178</v>
      </c>
      <c r="D57" s="107">
        <f>IF(D52=0,0,-(D52-D$50))</f>
        <v>0</v>
      </c>
      <c r="E57" s="107">
        <f t="shared" ref="E57:S57" si="29">IF(E52=0,0,-(E52-E$50))</f>
        <v>0</v>
      </c>
      <c r="F57" s="107">
        <f t="shared" si="29"/>
        <v>0</v>
      </c>
      <c r="G57" s="107">
        <f t="shared" si="29"/>
        <v>0</v>
      </c>
      <c r="H57" s="107">
        <f t="shared" si="29"/>
        <v>0</v>
      </c>
      <c r="I57" s="107">
        <f t="shared" si="29"/>
        <v>0</v>
      </c>
      <c r="J57" s="107">
        <f t="shared" si="29"/>
        <v>0</v>
      </c>
      <c r="K57" s="107">
        <f t="shared" si="29"/>
        <v>0</v>
      </c>
      <c r="L57" s="107">
        <f t="shared" si="29"/>
        <v>0</v>
      </c>
      <c r="M57" s="107">
        <f t="shared" si="29"/>
        <v>0</v>
      </c>
      <c r="N57" s="107">
        <f t="shared" si="29"/>
        <v>0</v>
      </c>
      <c r="O57" s="107">
        <f t="shared" si="29"/>
        <v>0</v>
      </c>
      <c r="P57" s="107">
        <f t="shared" si="29"/>
        <v>0</v>
      </c>
      <c r="Q57" s="107">
        <f t="shared" si="29"/>
        <v>0</v>
      </c>
      <c r="R57" s="107">
        <f t="shared" si="29"/>
        <v>0</v>
      </c>
      <c r="S57" s="107">
        <f t="shared" si="29"/>
        <v>0</v>
      </c>
    </row>
    <row r="59" spans="2:19">
      <c r="B59" s="98" t="s">
        <v>174</v>
      </c>
    </row>
    <row r="61" spans="2:19" ht="13.5" thickBot="1">
      <c r="B61" s="84" t="s">
        <v>1</v>
      </c>
      <c r="C61" s="84" t="s">
        <v>25</v>
      </c>
      <c r="D61" s="84">
        <v>2021</v>
      </c>
      <c r="E61" s="84">
        <f>D61+1</f>
        <v>2022</v>
      </c>
      <c r="F61" s="84">
        <f t="shared" ref="F61:S61" si="30">E61+1</f>
        <v>2023</v>
      </c>
      <c r="G61" s="84">
        <f t="shared" si="30"/>
        <v>2024</v>
      </c>
      <c r="H61" s="84">
        <f t="shared" si="30"/>
        <v>2025</v>
      </c>
      <c r="I61" s="84">
        <f t="shared" si="30"/>
        <v>2026</v>
      </c>
      <c r="J61" s="84">
        <f t="shared" si="30"/>
        <v>2027</v>
      </c>
      <c r="K61" s="84">
        <f t="shared" si="30"/>
        <v>2028</v>
      </c>
      <c r="L61" s="84">
        <f t="shared" si="30"/>
        <v>2029</v>
      </c>
      <c r="M61" s="84">
        <f t="shared" si="30"/>
        <v>2030</v>
      </c>
      <c r="N61" s="84">
        <f t="shared" si="30"/>
        <v>2031</v>
      </c>
      <c r="O61" s="84">
        <f t="shared" si="30"/>
        <v>2032</v>
      </c>
      <c r="P61" s="84">
        <f t="shared" si="30"/>
        <v>2033</v>
      </c>
      <c r="Q61" s="84">
        <f t="shared" si="30"/>
        <v>2034</v>
      </c>
      <c r="R61" s="84">
        <f t="shared" si="30"/>
        <v>2035</v>
      </c>
      <c r="S61" s="84">
        <f t="shared" si="30"/>
        <v>2036</v>
      </c>
    </row>
    <row r="62" spans="2:19" ht="13.5" thickTop="1">
      <c r="B62" s="1" t="s">
        <v>160</v>
      </c>
      <c r="C62" s="1" t="s">
        <v>179</v>
      </c>
      <c r="D62" s="107">
        <f>PRODUCT(D5,ZAŁOŻENIA!$E$209)/1000000</f>
        <v>0</v>
      </c>
      <c r="E62" s="107">
        <f>PRODUCT(E5,ZAŁOŻENIA!$E$209)/1000000</f>
        <v>0</v>
      </c>
      <c r="F62" s="107">
        <f>PRODUCT(F5,ZAŁOŻENIA!$E$209)/1000000</f>
        <v>0</v>
      </c>
      <c r="G62" s="107">
        <f>PRODUCT(G5,ZAŁOŻENIA!$E$209)/1000000</f>
        <v>0</v>
      </c>
      <c r="H62" s="107">
        <f>PRODUCT(H5,ZAŁOŻENIA!$E$209)/1000000</f>
        <v>0</v>
      </c>
      <c r="I62" s="107">
        <f>PRODUCT(I5,ZAŁOŻENIA!$E$209)/1000000</f>
        <v>0</v>
      </c>
      <c r="J62" s="107">
        <f>PRODUCT(J5,ZAŁOŻENIA!$E$209)/1000000</f>
        <v>0</v>
      </c>
      <c r="K62" s="107">
        <f>PRODUCT(K5,ZAŁOŻENIA!$E$209)/1000000</f>
        <v>0</v>
      </c>
      <c r="L62" s="107">
        <f>PRODUCT(L5,ZAŁOŻENIA!$E$209)/1000000</f>
        <v>0</v>
      </c>
      <c r="M62" s="107">
        <f>PRODUCT(M5,ZAŁOŻENIA!$E$209)/1000000</f>
        <v>0</v>
      </c>
      <c r="N62" s="107">
        <f>PRODUCT(N5,ZAŁOŻENIA!$E$209)/1000000</f>
        <v>0</v>
      </c>
      <c r="O62" s="107">
        <f>PRODUCT(O5,ZAŁOŻENIA!$E$209)/1000000</f>
        <v>0</v>
      </c>
      <c r="P62" s="107">
        <f>PRODUCT(P5,ZAŁOŻENIA!$E$209)/1000000</f>
        <v>0</v>
      </c>
      <c r="Q62" s="107">
        <f>PRODUCT(Q5,ZAŁOŻENIA!$E$209)/1000000</f>
        <v>0</v>
      </c>
      <c r="R62" s="107">
        <f>PRODUCT(R5,ZAŁOŻENIA!$E$209)/1000000</f>
        <v>0</v>
      </c>
      <c r="S62" s="107">
        <f>PRODUCT(S5,ZAŁOŻENIA!$E$209)/1000000</f>
        <v>0</v>
      </c>
    </row>
    <row r="63" spans="2:19">
      <c r="B63" s="1" t="s">
        <v>161</v>
      </c>
      <c r="C63" s="1" t="s">
        <v>179</v>
      </c>
      <c r="D63" s="110">
        <f>PRODUCT(D5,ZAŁOŻENIA!$E$210)/1000000</f>
        <v>0</v>
      </c>
      <c r="E63" s="110">
        <f>PRODUCT(E5,ZAŁOŻENIA!$E$210)/1000000</f>
        <v>0</v>
      </c>
      <c r="F63" s="110">
        <f>PRODUCT(F5,ZAŁOŻENIA!$E$210)/1000000</f>
        <v>0.25798940389161285</v>
      </c>
      <c r="G63" s="110">
        <f>PRODUCT(G5,ZAŁOŻENIA!$E$210)/1000000</f>
        <v>0.25798940389161285</v>
      </c>
      <c r="H63" s="110">
        <f>PRODUCT(H5,ZAŁOŻENIA!$E$210)/1000000</f>
        <v>0.64497350972903233</v>
      </c>
      <c r="I63" s="110">
        <f>PRODUCT(I5,ZAŁOŻENIA!$E$210)/1000000</f>
        <v>0.64497350972903233</v>
      </c>
      <c r="J63" s="110">
        <f>PRODUCT(J5,ZAŁOŻENIA!$E$210)/1000000</f>
        <v>0.64497350972903233</v>
      </c>
      <c r="K63" s="110">
        <f>PRODUCT(K5,ZAŁOŻENIA!$E$210)/1000000</f>
        <v>1.0319576155664514</v>
      </c>
      <c r="L63" s="110">
        <f>PRODUCT(L5,ZAŁOŻENIA!$E$210)/1000000</f>
        <v>1.0319576155664514</v>
      </c>
      <c r="M63" s="110">
        <f>PRODUCT(M5,ZAŁOŻENIA!$E$210)/1000000</f>
        <v>1.0319576155664514</v>
      </c>
      <c r="N63" s="110">
        <f>PRODUCT(N5,ZAŁOŻENIA!$E$210)/1000000</f>
        <v>1.0319576155664514</v>
      </c>
      <c r="O63" s="110">
        <f>PRODUCT(O5,ZAŁOŻENIA!$E$210)/1000000</f>
        <v>1.0319576155664514</v>
      </c>
      <c r="P63" s="110">
        <f>PRODUCT(P5,ZAŁOŻENIA!$E$210)/1000000</f>
        <v>1.0319576155664514</v>
      </c>
      <c r="Q63" s="110">
        <f>PRODUCT(Q5,ZAŁOŻENIA!$E$210)/1000000</f>
        <v>1.0319576155664514</v>
      </c>
      <c r="R63" s="110">
        <f>PRODUCT(R5,ZAŁOŻENIA!$E$210)/1000000</f>
        <v>1.0319576155664514</v>
      </c>
      <c r="S63" s="110">
        <f>PRODUCT(S5,ZAŁOŻENIA!$E$210)/1000000</f>
        <v>1.0319576155664514</v>
      </c>
    </row>
    <row r="64" spans="2:19">
      <c r="B64" s="1" t="s">
        <v>162</v>
      </c>
      <c r="C64" s="1" t="s">
        <v>179</v>
      </c>
      <c r="D64" s="110">
        <f>IF(ZAŁOŻENIA!$E$211="bd",0,(D5*ZAŁOŻENIA!$E$211)/1000000)</f>
        <v>0</v>
      </c>
      <c r="E64" s="110">
        <f>IF(ZAŁOŻENIA!$E$211="bd",0,(E5*ZAŁOŻENIA!$E$211)/1000000)</f>
        <v>0</v>
      </c>
      <c r="F64" s="110">
        <f>IF(ZAŁOŻENIA!$E$211="bd",0,(F5*ZAŁOŻENIA!$E$211)/1000000)</f>
        <v>0</v>
      </c>
      <c r="G64" s="110">
        <f>IF(ZAŁOŻENIA!$E$211="bd",0,(G5*ZAŁOŻENIA!$E$211)/1000000)</f>
        <v>0</v>
      </c>
      <c r="H64" s="110">
        <f>IF(ZAŁOŻENIA!$E$211="bd",0,(H5*ZAŁOŻENIA!$E$211)/1000000)</f>
        <v>0</v>
      </c>
      <c r="I64" s="110">
        <f>IF(ZAŁOŻENIA!$E$211="bd",0,(I5*ZAŁOŻENIA!$E$211)/1000000)</f>
        <v>0</v>
      </c>
      <c r="J64" s="110">
        <f>IF(ZAŁOŻENIA!$E$211="bd",0,(J5*ZAŁOŻENIA!$E$211)/1000000)</f>
        <v>0</v>
      </c>
      <c r="K64" s="110">
        <f>IF(ZAŁOŻENIA!$E$211="bd",0,(K5*ZAŁOŻENIA!$E$211)/1000000)</f>
        <v>0</v>
      </c>
      <c r="L64" s="110">
        <f>IF(ZAŁOŻENIA!$E$211="bd",0,(L5*ZAŁOŻENIA!$E$211)/1000000)</f>
        <v>0</v>
      </c>
      <c r="M64" s="110">
        <f>IF(ZAŁOŻENIA!$E$211="bd",0,(M5*ZAŁOŻENIA!$E$211)/1000000)</f>
        <v>0</v>
      </c>
      <c r="N64" s="110">
        <f>IF(ZAŁOŻENIA!$E$211="bd",0,(N5*ZAŁOŻENIA!$E$211)/1000000)</f>
        <v>0</v>
      </c>
      <c r="O64" s="110">
        <f>IF(ZAŁOŻENIA!$E$211="bd",0,(O5*ZAŁOŻENIA!$E$211)/1000000)</f>
        <v>0</v>
      </c>
      <c r="P64" s="110">
        <f>IF(ZAŁOŻENIA!$E$211="bd",0,(P5*ZAŁOŻENIA!$E$211)/1000000)</f>
        <v>0</v>
      </c>
      <c r="Q64" s="110">
        <f>IF(ZAŁOŻENIA!$E$211="bd",0,(Q5*ZAŁOŻENIA!$E$211)/1000000)</f>
        <v>0</v>
      </c>
      <c r="R64" s="110">
        <f>IF(ZAŁOŻENIA!$E$211="bd",0,(R5*ZAŁOŻENIA!$E$211)/1000000)</f>
        <v>0</v>
      </c>
      <c r="S64" s="110">
        <f>IF(ZAŁOŻENIA!$E$211="bd",0,(S5*ZAŁOŻENIA!$E$211)/1000000)</f>
        <v>0</v>
      </c>
    </row>
    <row r="66" spans="2:19">
      <c r="B66" s="1" t="s">
        <v>173</v>
      </c>
    </row>
    <row r="67" spans="2:19" ht="13.5" thickBot="1">
      <c r="B67" s="84" t="s">
        <v>1</v>
      </c>
      <c r="C67" s="84" t="s">
        <v>25</v>
      </c>
      <c r="D67" s="84">
        <v>2021</v>
      </c>
      <c r="E67" s="84">
        <f>D67+1</f>
        <v>2022</v>
      </c>
      <c r="F67" s="84">
        <f t="shared" ref="F67:S67" si="31">E67+1</f>
        <v>2023</v>
      </c>
      <c r="G67" s="84">
        <f t="shared" si="31"/>
        <v>2024</v>
      </c>
      <c r="H67" s="84">
        <f t="shared" si="31"/>
        <v>2025</v>
      </c>
      <c r="I67" s="84">
        <f t="shared" si="31"/>
        <v>2026</v>
      </c>
      <c r="J67" s="84">
        <f t="shared" si="31"/>
        <v>2027</v>
      </c>
      <c r="K67" s="84">
        <f t="shared" si="31"/>
        <v>2028</v>
      </c>
      <c r="L67" s="84">
        <f t="shared" si="31"/>
        <v>2029</v>
      </c>
      <c r="M67" s="84">
        <f t="shared" si="31"/>
        <v>2030</v>
      </c>
      <c r="N67" s="84">
        <f t="shared" si="31"/>
        <v>2031</v>
      </c>
      <c r="O67" s="84">
        <f t="shared" si="31"/>
        <v>2032</v>
      </c>
      <c r="P67" s="84">
        <f t="shared" si="31"/>
        <v>2033</v>
      </c>
      <c r="Q67" s="84">
        <f t="shared" si="31"/>
        <v>2034</v>
      </c>
      <c r="R67" s="84">
        <f t="shared" si="31"/>
        <v>2035</v>
      </c>
      <c r="S67" s="84">
        <f t="shared" si="31"/>
        <v>2036</v>
      </c>
    </row>
    <row r="68" spans="2:19" ht="13.5" thickTop="1">
      <c r="B68" s="1" t="s">
        <v>161</v>
      </c>
      <c r="C68" s="1" t="s">
        <v>179</v>
      </c>
      <c r="D68" s="107">
        <f>-(D63-D$62)</f>
        <v>0</v>
      </c>
      <c r="E68" s="107">
        <f t="shared" ref="E68:S68" si="32">-(E63-E$62)</f>
        <v>0</v>
      </c>
      <c r="F68" s="107">
        <f t="shared" si="32"/>
        <v>-0.25798940389161285</v>
      </c>
      <c r="G68" s="107">
        <f t="shared" si="32"/>
        <v>-0.25798940389161285</v>
      </c>
      <c r="H68" s="107">
        <f t="shared" si="32"/>
        <v>-0.64497350972903233</v>
      </c>
      <c r="I68" s="107">
        <f t="shared" si="32"/>
        <v>-0.64497350972903233</v>
      </c>
      <c r="J68" s="107">
        <f t="shared" si="32"/>
        <v>-0.64497350972903233</v>
      </c>
      <c r="K68" s="107">
        <f t="shared" si="32"/>
        <v>-1.0319576155664514</v>
      </c>
      <c r="L68" s="107">
        <f t="shared" si="32"/>
        <v>-1.0319576155664514</v>
      </c>
      <c r="M68" s="107">
        <f t="shared" si="32"/>
        <v>-1.0319576155664514</v>
      </c>
      <c r="N68" s="107">
        <f t="shared" si="32"/>
        <v>-1.0319576155664514</v>
      </c>
      <c r="O68" s="107">
        <f t="shared" si="32"/>
        <v>-1.0319576155664514</v>
      </c>
      <c r="P68" s="107">
        <f t="shared" si="32"/>
        <v>-1.0319576155664514</v>
      </c>
      <c r="Q68" s="107">
        <f t="shared" si="32"/>
        <v>-1.0319576155664514</v>
      </c>
      <c r="R68" s="107">
        <f t="shared" si="32"/>
        <v>-1.0319576155664514</v>
      </c>
      <c r="S68" s="107">
        <f t="shared" si="32"/>
        <v>-1.0319576155664514</v>
      </c>
    </row>
    <row r="69" spans="2:19">
      <c r="B69" s="1" t="s">
        <v>162</v>
      </c>
      <c r="C69" s="1" t="s">
        <v>179</v>
      </c>
      <c r="D69" s="107">
        <f>-(D64-D$62)</f>
        <v>0</v>
      </c>
      <c r="E69" s="107">
        <f t="shared" ref="E69:S69" si="33">-(E64-E$62)</f>
        <v>0</v>
      </c>
      <c r="F69" s="107">
        <f t="shared" si="33"/>
        <v>0</v>
      </c>
      <c r="G69" s="107">
        <f t="shared" si="33"/>
        <v>0</v>
      </c>
      <c r="H69" s="107">
        <f t="shared" si="33"/>
        <v>0</v>
      </c>
      <c r="I69" s="107">
        <f t="shared" si="33"/>
        <v>0</v>
      </c>
      <c r="J69" s="107">
        <f t="shared" si="33"/>
        <v>0</v>
      </c>
      <c r="K69" s="107">
        <f t="shared" si="33"/>
        <v>0</v>
      </c>
      <c r="L69" s="107">
        <f t="shared" si="33"/>
        <v>0</v>
      </c>
      <c r="M69" s="107">
        <f t="shared" si="33"/>
        <v>0</v>
      </c>
      <c r="N69" s="107">
        <f t="shared" si="33"/>
        <v>0</v>
      </c>
      <c r="O69" s="107">
        <f t="shared" si="33"/>
        <v>0</v>
      </c>
      <c r="P69" s="107">
        <f t="shared" si="33"/>
        <v>0</v>
      </c>
      <c r="Q69" s="107">
        <f t="shared" si="33"/>
        <v>0</v>
      </c>
      <c r="R69" s="107">
        <f t="shared" si="33"/>
        <v>0</v>
      </c>
      <c r="S69" s="107">
        <f t="shared" si="33"/>
        <v>0</v>
      </c>
    </row>
    <row r="71" spans="2:19">
      <c r="B71" s="98" t="s">
        <v>175</v>
      </c>
    </row>
    <row r="73" spans="2:19" ht="13.5" thickBot="1">
      <c r="B73" s="84" t="s">
        <v>1</v>
      </c>
      <c r="C73" s="84" t="s">
        <v>25</v>
      </c>
      <c r="D73" s="84">
        <v>2021</v>
      </c>
      <c r="E73" s="84">
        <f>D73+1</f>
        <v>2022</v>
      </c>
      <c r="F73" s="84">
        <f t="shared" ref="F73:S73" si="34">E73+1</f>
        <v>2023</v>
      </c>
      <c r="G73" s="84">
        <f t="shared" si="34"/>
        <v>2024</v>
      </c>
      <c r="H73" s="84">
        <f t="shared" si="34"/>
        <v>2025</v>
      </c>
      <c r="I73" s="84">
        <f t="shared" si="34"/>
        <v>2026</v>
      </c>
      <c r="J73" s="84">
        <f t="shared" si="34"/>
        <v>2027</v>
      </c>
      <c r="K73" s="84">
        <f t="shared" si="34"/>
        <v>2028</v>
      </c>
      <c r="L73" s="84">
        <f t="shared" si="34"/>
        <v>2029</v>
      </c>
      <c r="M73" s="84">
        <f t="shared" si="34"/>
        <v>2030</v>
      </c>
      <c r="N73" s="84">
        <f t="shared" si="34"/>
        <v>2031</v>
      </c>
      <c r="O73" s="84">
        <f t="shared" si="34"/>
        <v>2032</v>
      </c>
      <c r="P73" s="84">
        <f t="shared" si="34"/>
        <v>2033</v>
      </c>
      <c r="Q73" s="84">
        <f t="shared" si="34"/>
        <v>2034</v>
      </c>
      <c r="R73" s="84">
        <f t="shared" si="34"/>
        <v>2035</v>
      </c>
      <c r="S73" s="84">
        <f t="shared" si="34"/>
        <v>2036</v>
      </c>
    </row>
    <row r="74" spans="2:19" ht="13.5" thickTop="1">
      <c r="B74" s="1" t="s">
        <v>160</v>
      </c>
      <c r="C74" s="1" t="s">
        <v>180</v>
      </c>
      <c r="D74" s="107">
        <f>PRODUCT(D5,ZAŁOŻENIA!$F$209)/1000000</f>
        <v>0</v>
      </c>
      <c r="E74" s="107">
        <f>PRODUCT(E5,ZAŁOŻENIA!$F$209)/1000000</f>
        <v>0</v>
      </c>
      <c r="F74" s="107">
        <f>PRODUCT(F5,ZAŁOŻENIA!$F$209)/1000000</f>
        <v>3.6823645161290319E-3</v>
      </c>
      <c r="G74" s="107">
        <f>PRODUCT(G5,ZAŁOŻENIA!$F$209)/1000000</f>
        <v>3.6823645161290319E-3</v>
      </c>
      <c r="H74" s="107">
        <f>PRODUCT(H5,ZAŁOŻENIA!$F$209)/1000000</f>
        <v>9.2059112903225809E-3</v>
      </c>
      <c r="I74" s="107">
        <f>PRODUCT(I5,ZAŁOŻENIA!$F$209)/1000000</f>
        <v>9.2059112903225809E-3</v>
      </c>
      <c r="J74" s="107">
        <f>PRODUCT(J5,ZAŁOŻENIA!$F$209)/1000000</f>
        <v>9.2059112903225809E-3</v>
      </c>
      <c r="K74" s="107">
        <f>PRODUCT(K5,ZAŁOŻENIA!$F$209)/1000000</f>
        <v>1.4729458064516128E-2</v>
      </c>
      <c r="L74" s="107">
        <f>PRODUCT(L5,ZAŁOŻENIA!$F$209)/1000000</f>
        <v>1.4729458064516128E-2</v>
      </c>
      <c r="M74" s="107">
        <f>PRODUCT(M5,ZAŁOŻENIA!$F$209)/1000000</f>
        <v>1.4729458064516128E-2</v>
      </c>
      <c r="N74" s="107">
        <f>PRODUCT(N5,ZAŁOŻENIA!$F$209)/1000000</f>
        <v>1.4729458064516128E-2</v>
      </c>
      <c r="O74" s="107">
        <f>PRODUCT(O5,ZAŁOŻENIA!$F$209)/1000000</f>
        <v>1.4729458064516128E-2</v>
      </c>
      <c r="P74" s="107">
        <f>PRODUCT(P5,ZAŁOŻENIA!$F$209)/1000000</f>
        <v>1.4729458064516128E-2</v>
      </c>
      <c r="Q74" s="107">
        <f>PRODUCT(Q5,ZAŁOŻENIA!$F$209)/1000000</f>
        <v>1.4729458064516128E-2</v>
      </c>
      <c r="R74" s="107">
        <f>PRODUCT(R5,ZAŁOŻENIA!$F$209)/1000000</f>
        <v>1.4729458064516128E-2</v>
      </c>
      <c r="S74" s="107">
        <f>PRODUCT(S5,ZAŁOŻENIA!$F$209)/1000000</f>
        <v>1.4729458064516128E-2</v>
      </c>
    </row>
    <row r="75" spans="2:19">
      <c r="B75" s="1" t="s">
        <v>161</v>
      </c>
      <c r="C75" s="1" t="s">
        <v>180</v>
      </c>
      <c r="D75" s="110">
        <f>PRODUCT(D5,ZAŁOŻENIA!$F$210)/1000000</f>
        <v>0</v>
      </c>
      <c r="E75" s="110">
        <f>PRODUCT(E5,ZAŁOŻENIA!$F$210)/1000000</f>
        <v>0</v>
      </c>
      <c r="F75" s="110">
        <f>PRODUCT(F5,ZAŁOŻENIA!$F$210)/1000000</f>
        <v>2.9341080464516125E-3</v>
      </c>
      <c r="G75" s="110">
        <f>PRODUCT(G5,ZAŁOŻENIA!$F$210)/1000000</f>
        <v>2.9341080464516125E-3</v>
      </c>
      <c r="H75" s="110">
        <f>PRODUCT(H5,ZAŁOŻENIA!$F$210)/1000000</f>
        <v>7.3352701161290322E-3</v>
      </c>
      <c r="I75" s="110">
        <f>PRODUCT(I5,ZAŁOŻENIA!$F$210)/1000000</f>
        <v>7.3352701161290322E-3</v>
      </c>
      <c r="J75" s="110">
        <f>PRODUCT(J5,ZAŁOŻENIA!$F$210)/1000000</f>
        <v>7.3352701161290322E-3</v>
      </c>
      <c r="K75" s="110">
        <f>PRODUCT(K5,ZAŁOŻENIA!$F$210)/1000000</f>
        <v>1.173643218580645E-2</v>
      </c>
      <c r="L75" s="110">
        <f>PRODUCT(L5,ZAŁOŻENIA!$F$210)/1000000</f>
        <v>1.173643218580645E-2</v>
      </c>
      <c r="M75" s="110">
        <f>PRODUCT(M5,ZAŁOŻENIA!$F$210)/1000000</f>
        <v>1.173643218580645E-2</v>
      </c>
      <c r="N75" s="110">
        <f>PRODUCT(N5,ZAŁOŻENIA!$F$210)/1000000</f>
        <v>1.173643218580645E-2</v>
      </c>
      <c r="O75" s="110">
        <f>PRODUCT(O5,ZAŁOŻENIA!$F$210)/1000000</f>
        <v>1.173643218580645E-2</v>
      </c>
      <c r="P75" s="110">
        <f>PRODUCT(P5,ZAŁOŻENIA!$F$210)/1000000</f>
        <v>1.173643218580645E-2</v>
      </c>
      <c r="Q75" s="110">
        <f>PRODUCT(Q5,ZAŁOŻENIA!$F$210)/1000000</f>
        <v>1.173643218580645E-2</v>
      </c>
      <c r="R75" s="110">
        <f>PRODUCT(R5,ZAŁOŻENIA!$F$210)/1000000</f>
        <v>1.173643218580645E-2</v>
      </c>
      <c r="S75" s="110">
        <f>PRODUCT(S5,ZAŁOŻENIA!$F$210)/1000000</f>
        <v>1.173643218580645E-2</v>
      </c>
    </row>
    <row r="76" spans="2:19">
      <c r="B76" s="1" t="s">
        <v>162</v>
      </c>
      <c r="C76" s="1" t="s">
        <v>180</v>
      </c>
      <c r="D76" s="110">
        <f>IF(ZAŁOŻENIA!$F$211="bd",0,(D5*ZAŁOŻENIA!$F$211)/1000000)</f>
        <v>0</v>
      </c>
      <c r="E76" s="110">
        <f>IF(ZAŁOŻENIA!$F$211="bd",0,(E5*ZAŁOŻENIA!$F$211)/1000000)</f>
        <v>0</v>
      </c>
      <c r="F76" s="110">
        <f>IF(ZAŁOŻENIA!$F$211="bd",0,(F5*ZAŁOŻENIA!$F$211)/1000000)</f>
        <v>0</v>
      </c>
      <c r="G76" s="110">
        <f>IF(ZAŁOŻENIA!$F$211="bd",0,(G5*ZAŁOŻENIA!$F$211)/1000000)</f>
        <v>0</v>
      </c>
      <c r="H76" s="110">
        <f>IF(ZAŁOŻENIA!$F$211="bd",0,(H5*ZAŁOŻENIA!$F$211)/1000000)</f>
        <v>0</v>
      </c>
      <c r="I76" s="110">
        <f>IF(ZAŁOŻENIA!$F$211="bd",0,(I5*ZAŁOŻENIA!$F$211)/1000000)</f>
        <v>0</v>
      </c>
      <c r="J76" s="110">
        <f>IF(ZAŁOŻENIA!$F$211="bd",0,(J5*ZAŁOŻENIA!$F$211)/1000000)</f>
        <v>0</v>
      </c>
      <c r="K76" s="110">
        <f>IF(ZAŁOŻENIA!$F$211="bd",0,(K5*ZAŁOŻENIA!$F$211)/1000000)</f>
        <v>0</v>
      </c>
      <c r="L76" s="110">
        <f>IF(ZAŁOŻENIA!$F$211="bd",0,(L5*ZAŁOŻENIA!$F$211)/1000000)</f>
        <v>0</v>
      </c>
      <c r="M76" s="110">
        <f>IF(ZAŁOŻENIA!$F$211="bd",0,(M5*ZAŁOŻENIA!$F$211)/1000000)</f>
        <v>0</v>
      </c>
      <c r="N76" s="110">
        <f>IF(ZAŁOŻENIA!$F$211="bd",0,(N5*ZAŁOŻENIA!$F$211)/1000000)</f>
        <v>0</v>
      </c>
      <c r="O76" s="110">
        <f>IF(ZAŁOŻENIA!$F$211="bd",0,(O5*ZAŁOŻENIA!$F$211)/1000000)</f>
        <v>0</v>
      </c>
      <c r="P76" s="110">
        <f>IF(ZAŁOŻENIA!$F$211="bd",0,(P5*ZAŁOŻENIA!$F$211)/1000000)</f>
        <v>0</v>
      </c>
      <c r="Q76" s="110">
        <f>IF(ZAŁOŻENIA!$F$211="bd",0,(Q5*ZAŁOŻENIA!$F$211)/1000000)</f>
        <v>0</v>
      </c>
      <c r="R76" s="110">
        <f>IF(ZAŁOŻENIA!$F$211="bd",0,(R5*ZAŁOŻENIA!$F$211)/1000000)</f>
        <v>0</v>
      </c>
      <c r="S76" s="110">
        <f>IF(ZAŁOŻENIA!$F$211="bd",0,(S5*ZAŁOŻENIA!$F$211)/1000000)</f>
        <v>0</v>
      </c>
    </row>
    <row r="78" spans="2:19">
      <c r="B78" s="1" t="s">
        <v>173</v>
      </c>
    </row>
    <row r="79" spans="2:19" ht="13.5" thickBot="1">
      <c r="B79" s="84" t="s">
        <v>1</v>
      </c>
      <c r="C79" s="84" t="s">
        <v>25</v>
      </c>
      <c r="D79" s="84">
        <v>2021</v>
      </c>
      <c r="E79" s="84">
        <f>D79+1</f>
        <v>2022</v>
      </c>
      <c r="F79" s="84">
        <f t="shared" ref="F79:S79" si="35">E79+1</f>
        <v>2023</v>
      </c>
      <c r="G79" s="84">
        <f t="shared" si="35"/>
        <v>2024</v>
      </c>
      <c r="H79" s="84">
        <f t="shared" si="35"/>
        <v>2025</v>
      </c>
      <c r="I79" s="84">
        <f t="shared" si="35"/>
        <v>2026</v>
      </c>
      <c r="J79" s="84">
        <f t="shared" si="35"/>
        <v>2027</v>
      </c>
      <c r="K79" s="84">
        <f t="shared" si="35"/>
        <v>2028</v>
      </c>
      <c r="L79" s="84">
        <f t="shared" si="35"/>
        <v>2029</v>
      </c>
      <c r="M79" s="84">
        <f t="shared" si="35"/>
        <v>2030</v>
      </c>
      <c r="N79" s="84">
        <f t="shared" si="35"/>
        <v>2031</v>
      </c>
      <c r="O79" s="84">
        <f t="shared" si="35"/>
        <v>2032</v>
      </c>
      <c r="P79" s="84">
        <f t="shared" si="35"/>
        <v>2033</v>
      </c>
      <c r="Q79" s="84">
        <f t="shared" si="35"/>
        <v>2034</v>
      </c>
      <c r="R79" s="84">
        <f t="shared" si="35"/>
        <v>2035</v>
      </c>
      <c r="S79" s="84">
        <f t="shared" si="35"/>
        <v>2036</v>
      </c>
    </row>
    <row r="80" spans="2:19" ht="13.5" thickTop="1">
      <c r="B80" s="1" t="s">
        <v>161</v>
      </c>
      <c r="C80" s="1" t="s">
        <v>180</v>
      </c>
      <c r="D80" s="107">
        <f>-(D75-D$74)</f>
        <v>0</v>
      </c>
      <c r="E80" s="107">
        <f t="shared" ref="E80:S80" si="36">-(E75-E$74)</f>
        <v>0</v>
      </c>
      <c r="F80" s="107">
        <f t="shared" si="36"/>
        <v>7.4825646967741945E-4</v>
      </c>
      <c r="G80" s="107">
        <f t="shared" si="36"/>
        <v>7.4825646967741945E-4</v>
      </c>
      <c r="H80" s="107">
        <f t="shared" si="36"/>
        <v>1.8706411741935486E-3</v>
      </c>
      <c r="I80" s="107">
        <f t="shared" si="36"/>
        <v>1.8706411741935486E-3</v>
      </c>
      <c r="J80" s="107">
        <f t="shared" si="36"/>
        <v>1.8706411741935486E-3</v>
      </c>
      <c r="K80" s="107">
        <f t="shared" si="36"/>
        <v>2.9930258787096778E-3</v>
      </c>
      <c r="L80" s="107">
        <f t="shared" si="36"/>
        <v>2.9930258787096778E-3</v>
      </c>
      <c r="M80" s="107">
        <f t="shared" si="36"/>
        <v>2.9930258787096778E-3</v>
      </c>
      <c r="N80" s="107">
        <f t="shared" si="36"/>
        <v>2.9930258787096778E-3</v>
      </c>
      <c r="O80" s="107">
        <f t="shared" si="36"/>
        <v>2.9930258787096778E-3</v>
      </c>
      <c r="P80" s="107">
        <f t="shared" si="36"/>
        <v>2.9930258787096778E-3</v>
      </c>
      <c r="Q80" s="107">
        <f t="shared" si="36"/>
        <v>2.9930258787096778E-3</v>
      </c>
      <c r="R80" s="107">
        <f t="shared" si="36"/>
        <v>2.9930258787096778E-3</v>
      </c>
      <c r="S80" s="107">
        <f t="shared" si="36"/>
        <v>2.9930258787096778E-3</v>
      </c>
    </row>
    <row r="81" spans="2:19">
      <c r="B81" s="1" t="s">
        <v>162</v>
      </c>
      <c r="C81" s="1" t="s">
        <v>180</v>
      </c>
      <c r="D81" s="107">
        <f>IF(D76=0,0,-(D76-D$74))</f>
        <v>0</v>
      </c>
      <c r="E81" s="107">
        <f t="shared" ref="E81:S81" si="37">IF(E76=0,0,-(E76-E$74))</f>
        <v>0</v>
      </c>
      <c r="F81" s="107">
        <f t="shared" si="37"/>
        <v>0</v>
      </c>
      <c r="G81" s="107">
        <f t="shared" si="37"/>
        <v>0</v>
      </c>
      <c r="H81" s="107">
        <f t="shared" si="37"/>
        <v>0</v>
      </c>
      <c r="I81" s="107">
        <f t="shared" si="37"/>
        <v>0</v>
      </c>
      <c r="J81" s="107">
        <f t="shared" si="37"/>
        <v>0</v>
      </c>
      <c r="K81" s="107">
        <f t="shared" si="37"/>
        <v>0</v>
      </c>
      <c r="L81" s="107">
        <f t="shared" si="37"/>
        <v>0</v>
      </c>
      <c r="M81" s="107">
        <f t="shared" si="37"/>
        <v>0</v>
      </c>
      <c r="N81" s="107">
        <f t="shared" si="37"/>
        <v>0</v>
      </c>
      <c r="O81" s="107">
        <f t="shared" si="37"/>
        <v>0</v>
      </c>
      <c r="P81" s="107">
        <f t="shared" si="37"/>
        <v>0</v>
      </c>
      <c r="Q81" s="107">
        <f t="shared" si="37"/>
        <v>0</v>
      </c>
      <c r="R81" s="107">
        <f t="shared" si="37"/>
        <v>0</v>
      </c>
      <c r="S81" s="107">
        <f t="shared" si="37"/>
        <v>0</v>
      </c>
    </row>
    <row r="84" spans="2:19" s="95" customFormat="1">
      <c r="B84" s="95" t="s">
        <v>30</v>
      </c>
    </row>
    <row r="86" spans="2:19" ht="13.5" thickBot="1">
      <c r="B86" s="84" t="s">
        <v>1</v>
      </c>
      <c r="C86" s="84" t="s">
        <v>25</v>
      </c>
      <c r="D86" s="84">
        <v>2021</v>
      </c>
      <c r="E86" s="84">
        <f>D86+1</f>
        <v>2022</v>
      </c>
      <c r="F86" s="84">
        <f t="shared" ref="F86:S86" si="38">E86+1</f>
        <v>2023</v>
      </c>
      <c r="G86" s="84">
        <f t="shared" si="38"/>
        <v>2024</v>
      </c>
      <c r="H86" s="84">
        <f t="shared" si="38"/>
        <v>2025</v>
      </c>
      <c r="I86" s="84">
        <f t="shared" si="38"/>
        <v>2026</v>
      </c>
      <c r="J86" s="84">
        <f t="shared" si="38"/>
        <v>2027</v>
      </c>
      <c r="K86" s="84">
        <f t="shared" si="38"/>
        <v>2028</v>
      </c>
      <c r="L86" s="84">
        <f t="shared" si="38"/>
        <v>2029</v>
      </c>
      <c r="M86" s="84">
        <f t="shared" si="38"/>
        <v>2030</v>
      </c>
      <c r="N86" s="84">
        <f t="shared" si="38"/>
        <v>2031</v>
      </c>
      <c r="O86" s="84">
        <f t="shared" si="38"/>
        <v>2032</v>
      </c>
      <c r="P86" s="84">
        <f t="shared" si="38"/>
        <v>2033</v>
      </c>
      <c r="Q86" s="84">
        <f t="shared" si="38"/>
        <v>2034</v>
      </c>
      <c r="R86" s="84">
        <f t="shared" si="38"/>
        <v>2035</v>
      </c>
      <c r="S86" s="84">
        <f t="shared" si="38"/>
        <v>2036</v>
      </c>
    </row>
    <row r="87" spans="2:19" ht="13.5" thickTop="1">
      <c r="B87" s="112" t="s">
        <v>161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</row>
    <row r="88" spans="2:19">
      <c r="B88" s="1" t="s">
        <v>185</v>
      </c>
      <c r="C88" s="1" t="s">
        <v>183</v>
      </c>
      <c r="D88" s="103"/>
      <c r="E88" s="103">
        <f>ZAŁOŻENIA!E134</f>
        <v>5200</v>
      </c>
      <c r="F88" s="103"/>
      <c r="G88" s="103"/>
      <c r="H88" s="103"/>
      <c r="I88" s="103"/>
      <c r="J88" s="103"/>
      <c r="K88" s="103"/>
    </row>
    <row r="89" spans="2:19">
      <c r="B89" s="1" t="s">
        <v>30</v>
      </c>
      <c r="C89" s="1" t="s">
        <v>183</v>
      </c>
      <c r="D89" s="103">
        <f>SUM($D$88:D88)*ZAŁOŻENIA!$D$81</f>
        <v>0</v>
      </c>
      <c r="E89" s="103">
        <f>SUM($D$88:E88)*ZAŁOŻENIA!$D$81</f>
        <v>650</v>
      </c>
      <c r="F89" s="103">
        <f>SUM($D$88:F88)*ZAŁOŻENIA!$D$81</f>
        <v>650</v>
      </c>
      <c r="G89" s="103">
        <f>SUM($D$88:G88)*ZAŁOŻENIA!$D$81</f>
        <v>650</v>
      </c>
      <c r="H89" s="103">
        <f>SUM($D$88:H88)*ZAŁOŻENIA!$D$81</f>
        <v>650</v>
      </c>
      <c r="I89" s="103">
        <f>SUM($D$88:I88)*ZAŁOŻENIA!$D$81</f>
        <v>650</v>
      </c>
      <c r="J89" s="103">
        <f>SUM($D$88:J88)*ZAŁOŻENIA!$D$81</f>
        <v>650</v>
      </c>
      <c r="K89" s="103">
        <f>SUM($D$88:K88)*ZAŁOŻENIA!$D$81</f>
        <v>650</v>
      </c>
      <c r="L89" s="103">
        <f>SUM($D$88:L88)*ZAŁOŻENIA!$D$81</f>
        <v>650</v>
      </c>
      <c r="M89" s="103">
        <v>0</v>
      </c>
      <c r="N89" s="103">
        <v>0</v>
      </c>
      <c r="O89" s="103">
        <f>N89</f>
        <v>0</v>
      </c>
      <c r="P89" s="103">
        <f t="shared" ref="P89:S89" si="39">O89</f>
        <v>0</v>
      </c>
      <c r="Q89" s="103">
        <f t="shared" si="39"/>
        <v>0</v>
      </c>
      <c r="R89" s="103">
        <f t="shared" si="39"/>
        <v>0</v>
      </c>
      <c r="S89" s="103">
        <f t="shared" si="39"/>
        <v>0</v>
      </c>
    </row>
    <row r="90" spans="2:19">
      <c r="B90" s="1" t="s">
        <v>181</v>
      </c>
      <c r="C90" s="1" t="s">
        <v>183</v>
      </c>
      <c r="D90" s="103">
        <f>SUM($D$88:D88)-D89</f>
        <v>0</v>
      </c>
      <c r="E90" s="103">
        <f>SUM($D$88:E88)-SUM($E$89:E89)</f>
        <v>4550</v>
      </c>
      <c r="F90" s="103">
        <f>SUM($D$88:F88)-SUM($E$89:F89)</f>
        <v>3900</v>
      </c>
      <c r="G90" s="103">
        <f>SUM($D$88:G88)-SUM($E$89:G89)</f>
        <v>3250</v>
      </c>
      <c r="H90" s="103">
        <f>SUM($D$88:H88)-SUM($E$89:H89)</f>
        <v>2600</v>
      </c>
      <c r="I90" s="103">
        <f>SUM($D$88:I88)-SUM($E$89:I89)</f>
        <v>1950</v>
      </c>
      <c r="J90" s="103">
        <f>SUM($D$88:J88)-SUM($E$89:J89)</f>
        <v>1300</v>
      </c>
      <c r="K90" s="103">
        <f>SUM($D$88:K88)-SUM($E$89:K89)</f>
        <v>650</v>
      </c>
      <c r="L90" s="103">
        <f>SUM($D$88:L88)-SUM($E$89:L89)</f>
        <v>0</v>
      </c>
      <c r="M90" s="103">
        <f>SUM($D$88:M88)-SUM($E$89:M89)</f>
        <v>0</v>
      </c>
      <c r="N90" s="103">
        <f>SUM($D$88:N88)-SUM($E$89:N89)</f>
        <v>0</v>
      </c>
      <c r="O90" s="103">
        <f>SUM($D$88:O88)-SUM($E$89:O89)</f>
        <v>0</v>
      </c>
      <c r="P90" s="103">
        <f>SUM($D$88:P88)-SUM($E$89:P89)</f>
        <v>0</v>
      </c>
      <c r="Q90" s="103">
        <f>SUM($D$88:Q88)-SUM($E$89:Q89)</f>
        <v>0</v>
      </c>
      <c r="R90" s="103">
        <f>SUM($D$88:R88)-SUM($E$89:R89)</f>
        <v>0</v>
      </c>
      <c r="S90" s="103">
        <f>SUM($D$88:S88)-SUM($E$89:S89)</f>
        <v>0</v>
      </c>
    </row>
    <row r="91" spans="2:19">
      <c r="B91" s="1" t="s">
        <v>186</v>
      </c>
      <c r="C91" s="1" t="s">
        <v>183</v>
      </c>
      <c r="D91" s="103"/>
      <c r="E91" s="103"/>
      <c r="F91" s="103"/>
      <c r="G91" s="103">
        <f>ZAŁOŻENIA!G134</f>
        <v>7800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" t="s">
        <v>30</v>
      </c>
      <c r="C92" s="1" t="s">
        <v>183</v>
      </c>
      <c r="D92" s="103">
        <f>SUM($D$91:D91)*ZAŁOŻENIA!$D$81</f>
        <v>0</v>
      </c>
      <c r="E92" s="103">
        <f>SUM($D$91:E91)*ZAŁOŻENIA!$D$81</f>
        <v>0</v>
      </c>
      <c r="F92" s="103">
        <f>SUM($D$91:F91)*ZAŁOŻENIA!$D$81</f>
        <v>0</v>
      </c>
      <c r="G92" s="103">
        <f>SUM($D$91:G91)*ZAŁOŻENIA!$D$81</f>
        <v>975</v>
      </c>
      <c r="H92" s="103">
        <f>SUM($D$91:H91)*ZAŁOŻENIA!$D$81</f>
        <v>975</v>
      </c>
      <c r="I92" s="103">
        <f>SUM($D$91:I91)*ZAŁOŻENIA!$D$81</f>
        <v>975</v>
      </c>
      <c r="J92" s="103">
        <f>SUM($D$91:J91)*ZAŁOŻENIA!$D$81</f>
        <v>975</v>
      </c>
      <c r="K92" s="103">
        <f>SUM($D$91:K91)*ZAŁOŻENIA!$D$81</f>
        <v>975</v>
      </c>
      <c r="L92" s="103">
        <f>SUM($D$91:L91)*ZAŁOŻENIA!$D$81</f>
        <v>975</v>
      </c>
      <c r="M92" s="103">
        <f>SUM($D$91:M91)*ZAŁOŻENIA!$D$81</f>
        <v>975</v>
      </c>
      <c r="N92" s="103">
        <f>SUM($D$91:N91)*ZAŁOŻENIA!$D$81</f>
        <v>975</v>
      </c>
      <c r="O92" s="103">
        <v>0</v>
      </c>
      <c r="P92" s="103">
        <v>0</v>
      </c>
      <c r="Q92" s="103">
        <f>P92</f>
        <v>0</v>
      </c>
      <c r="R92" s="103">
        <f t="shared" ref="R92:S92" si="40">Q92</f>
        <v>0</v>
      </c>
      <c r="S92" s="103">
        <f t="shared" si="40"/>
        <v>0</v>
      </c>
    </row>
    <row r="93" spans="2:19">
      <c r="B93" s="1" t="s">
        <v>181</v>
      </c>
      <c r="C93" s="1" t="s">
        <v>183</v>
      </c>
      <c r="D93" s="103">
        <f>SUM($D$91:D91)-D92</f>
        <v>0</v>
      </c>
      <c r="E93" s="103">
        <f>SUM($D$91:E91)-SUM($E$92:E92)</f>
        <v>0</v>
      </c>
      <c r="F93" s="103">
        <f>SUM($D$91:F91)-SUM($E$92:F92)</f>
        <v>0</v>
      </c>
      <c r="G93" s="103">
        <f>SUM($D$91:G91)-SUM($E$92:G92)</f>
        <v>6825</v>
      </c>
      <c r="H93" s="103">
        <f>SUM($D$91:H91)-SUM($E$92:H92)</f>
        <v>5850</v>
      </c>
      <c r="I93" s="103">
        <f>SUM($D$91:I91)-SUM($E$92:I92)</f>
        <v>4875</v>
      </c>
      <c r="J93" s="103">
        <f>SUM($D$91:J91)-SUM($E$92:J92)</f>
        <v>3900</v>
      </c>
      <c r="K93" s="103">
        <f>SUM($D$91:K91)-SUM($E$92:K92)</f>
        <v>2925</v>
      </c>
      <c r="L93" s="103">
        <f>SUM($D$91:L91)-SUM($E$92:L92)</f>
        <v>1950</v>
      </c>
      <c r="M93" s="103">
        <f>SUM($D$91:M91)-SUM($E$92:M92)</f>
        <v>975</v>
      </c>
      <c r="N93" s="103">
        <f>SUM($D$91:N91)-SUM($E$92:N92)</f>
        <v>0</v>
      </c>
      <c r="O93" s="103">
        <f>SUM($D$91:O91)-SUM($E$92:O92)</f>
        <v>0</v>
      </c>
      <c r="P93" s="103">
        <f>SUM($D$91:P91)-SUM($E$92:P92)</f>
        <v>0</v>
      </c>
      <c r="Q93" s="103">
        <f>SUM($D$91:Q91)-SUM($E$92:Q92)</f>
        <v>0</v>
      </c>
      <c r="R93" s="103">
        <f>SUM($D$91:R91)-SUM($E$92:R92)</f>
        <v>0</v>
      </c>
      <c r="S93" s="103">
        <f>SUM($D$91:S91)-SUM($E$92:S92)</f>
        <v>0</v>
      </c>
    </row>
    <row r="94" spans="2:19">
      <c r="B94" s="1" t="s">
        <v>187</v>
      </c>
      <c r="C94" s="1" t="s">
        <v>183</v>
      </c>
      <c r="D94" s="103"/>
      <c r="E94" s="103"/>
      <c r="F94" s="103"/>
      <c r="G94" s="103"/>
      <c r="H94" s="103"/>
      <c r="I94" s="103"/>
      <c r="J94" s="103">
        <f>ZAŁOŻENIA!J134</f>
        <v>7800</v>
      </c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" t="s">
        <v>30</v>
      </c>
      <c r="C95" s="1" t="s">
        <v>183</v>
      </c>
      <c r="D95" s="103">
        <f>SUM($D$94:D94)*ZAŁOŻENIA!$D$81</f>
        <v>0</v>
      </c>
      <c r="E95" s="103">
        <f>SUM($D$94:E94)*ZAŁOŻENIA!$D$81</f>
        <v>0</v>
      </c>
      <c r="F95" s="103">
        <f>SUM($D$94:F94)*ZAŁOŻENIA!$D$81</f>
        <v>0</v>
      </c>
      <c r="G95" s="103">
        <f>SUM($D$94:G94)*ZAŁOŻENIA!$D$81</f>
        <v>0</v>
      </c>
      <c r="H95" s="103">
        <f>SUM($D$94:H94)*ZAŁOŻENIA!$D$81</f>
        <v>0</v>
      </c>
      <c r="I95" s="103">
        <f>SUM($D$94:I94)*ZAŁOŻENIA!$D$81</f>
        <v>0</v>
      </c>
      <c r="J95" s="103">
        <f>SUM($D$94:J94)*ZAŁOŻENIA!$D$81</f>
        <v>975</v>
      </c>
      <c r="K95" s="103">
        <f>SUM($D$94:K94)*ZAŁOŻENIA!$D$81</f>
        <v>975</v>
      </c>
      <c r="L95" s="103">
        <f>SUM($D$94:L94)*ZAŁOŻENIA!$D$81</f>
        <v>975</v>
      </c>
      <c r="M95" s="103">
        <f>SUM($D$94:M94)*ZAŁOŻENIA!$D$81</f>
        <v>975</v>
      </c>
      <c r="N95" s="103">
        <f>SUM($D$94:N94)*ZAŁOŻENIA!$D$81</f>
        <v>975</v>
      </c>
      <c r="O95" s="103">
        <f>SUM($D$94:O94)*ZAŁOŻENIA!$D$81</f>
        <v>975</v>
      </c>
      <c r="P95" s="103">
        <f>SUM($D$94:P94)*ZAŁOŻENIA!$D$81</f>
        <v>975</v>
      </c>
      <c r="Q95" s="103">
        <f>SUM($D$94:Q94)*ZAŁOŻENIA!$D$81</f>
        <v>975</v>
      </c>
      <c r="R95" s="103">
        <v>0</v>
      </c>
      <c r="S95" s="103">
        <v>0</v>
      </c>
    </row>
    <row r="96" spans="2:19">
      <c r="B96" s="1" t="s">
        <v>181</v>
      </c>
      <c r="C96" s="1" t="s">
        <v>183</v>
      </c>
      <c r="D96" s="103">
        <f>SUM($D$94:D94)-D95</f>
        <v>0</v>
      </c>
      <c r="E96" s="103">
        <f>SUM($D$94:E94)-SUM($E$95:E95)</f>
        <v>0</v>
      </c>
      <c r="F96" s="103">
        <f>SUM($D$94:F94)-SUM($E$95:F95)</f>
        <v>0</v>
      </c>
      <c r="G96" s="103">
        <f>SUM($D$94:G94)-SUM($E$95:G95)</f>
        <v>0</v>
      </c>
      <c r="H96" s="103">
        <f>SUM($D$94:H94)-SUM($E$95:H95)</f>
        <v>0</v>
      </c>
      <c r="I96" s="103">
        <f>SUM($D$94:I94)-SUM($E$95:I95)</f>
        <v>0</v>
      </c>
      <c r="J96" s="103">
        <f>SUM($D$94:J94)-SUM($E$95:J95)</f>
        <v>6825</v>
      </c>
      <c r="K96" s="103">
        <f>SUM($D$94:K94)-SUM($E$95:K95)</f>
        <v>5850</v>
      </c>
      <c r="L96" s="103">
        <f>SUM($D$94:L94)-SUM($E$95:L95)</f>
        <v>4875</v>
      </c>
      <c r="M96" s="103">
        <f>SUM($D$94:M94)-SUM($E$95:M95)</f>
        <v>3900</v>
      </c>
      <c r="N96" s="103">
        <f>SUM($D$94:N94)-SUM($E$95:N95)</f>
        <v>2925</v>
      </c>
      <c r="O96" s="103">
        <f>SUM($D$94:O94)-SUM($E$95:O95)</f>
        <v>1950</v>
      </c>
      <c r="P96" s="103">
        <f>SUM($D$94:P94)-SUM($E$95:P95)</f>
        <v>975</v>
      </c>
      <c r="Q96" s="103">
        <f>SUM($D$94:Q94)-SUM($E$95:Q95)</f>
        <v>0</v>
      </c>
      <c r="R96" s="103">
        <f>SUM($D$94:R94)-SUM($E$95:R95)</f>
        <v>0</v>
      </c>
      <c r="S96" s="103">
        <f>SUM($D$94:S94)-SUM($E$95:S95)</f>
        <v>0</v>
      </c>
    </row>
    <row r="97" spans="2:20" s="97" customFormat="1">
      <c r="B97" s="97" t="s">
        <v>188</v>
      </c>
      <c r="C97" s="97" t="s">
        <v>183</v>
      </c>
      <c r="D97" s="114">
        <f>SUM(D90,D93,D96)</f>
        <v>0</v>
      </c>
      <c r="E97" s="114">
        <f t="shared" ref="E97:S97" si="41">SUM(E90,E93,E96)</f>
        <v>4550</v>
      </c>
      <c r="F97" s="114">
        <f t="shared" si="41"/>
        <v>3900</v>
      </c>
      <c r="G97" s="114">
        <f t="shared" si="41"/>
        <v>10075</v>
      </c>
      <c r="H97" s="114">
        <f t="shared" si="41"/>
        <v>8450</v>
      </c>
      <c r="I97" s="114">
        <f t="shared" si="41"/>
        <v>6825</v>
      </c>
      <c r="J97" s="114">
        <f t="shared" si="41"/>
        <v>12025</v>
      </c>
      <c r="K97" s="114">
        <f t="shared" si="41"/>
        <v>9425</v>
      </c>
      <c r="L97" s="114">
        <f t="shared" si="41"/>
        <v>6825</v>
      </c>
      <c r="M97" s="114">
        <f t="shared" si="41"/>
        <v>4875</v>
      </c>
      <c r="N97" s="114">
        <f t="shared" si="41"/>
        <v>2925</v>
      </c>
      <c r="O97" s="114">
        <f t="shared" si="41"/>
        <v>1950</v>
      </c>
      <c r="P97" s="114">
        <f t="shared" si="41"/>
        <v>975</v>
      </c>
      <c r="Q97" s="114">
        <f t="shared" si="41"/>
        <v>0</v>
      </c>
      <c r="R97" s="114">
        <f t="shared" si="41"/>
        <v>0</v>
      </c>
      <c r="S97" s="114">
        <f t="shared" si="41"/>
        <v>0</v>
      </c>
    </row>
    <row r="98" spans="2:20">
      <c r="B98" s="1" t="s">
        <v>182</v>
      </c>
      <c r="C98" s="1" t="s">
        <v>183</v>
      </c>
      <c r="D98" s="103"/>
      <c r="E98" s="103">
        <f>ZAŁOŻENIA!E137</f>
        <v>1660</v>
      </c>
      <c r="F98" s="103"/>
      <c r="G98" s="103"/>
      <c r="H98" s="103"/>
      <c r="I98" s="103"/>
      <c r="J98" s="103"/>
      <c r="K98" s="103"/>
    </row>
    <row r="99" spans="2:20">
      <c r="B99" s="1" t="s">
        <v>30</v>
      </c>
      <c r="C99" s="1" t="s">
        <v>183</v>
      </c>
      <c r="D99" s="103">
        <f>SUM($D$98:D98)*ZAŁOŻENIA!$D$85</f>
        <v>0</v>
      </c>
      <c r="E99" s="103">
        <f>SUM($D$98:E98)*ZAŁOŻENIA!$D$85</f>
        <v>166</v>
      </c>
      <c r="F99" s="103">
        <f>SUM($D$98:F98)*ZAŁOŻENIA!$D$85</f>
        <v>166</v>
      </c>
      <c r="G99" s="103">
        <f>SUM($D$98:G98)*ZAŁOŻENIA!$D$85</f>
        <v>166</v>
      </c>
      <c r="H99" s="103">
        <f>SUM($D$98:H98)*ZAŁOŻENIA!$D$85</f>
        <v>166</v>
      </c>
      <c r="I99" s="103">
        <f>SUM($D$98:I98)*ZAŁOŻENIA!$D$85</f>
        <v>166</v>
      </c>
      <c r="J99" s="103">
        <f>SUM($D$98:J98)*ZAŁOŻENIA!$D$85</f>
        <v>166</v>
      </c>
      <c r="K99" s="103">
        <f>SUM($D$98:K98)*ZAŁOŻENIA!$D$85</f>
        <v>166</v>
      </c>
      <c r="L99" s="103">
        <f>SUM($D$98:L98)*ZAŁOŻENIA!$D$85</f>
        <v>166</v>
      </c>
      <c r="M99" s="103">
        <f>SUM($D$98:M98)*ZAŁOŻENIA!$D$85</f>
        <v>166</v>
      </c>
      <c r="N99" s="103">
        <f>SUM($D$98:N98)*ZAŁOŻENIA!$D$85</f>
        <v>166</v>
      </c>
      <c r="O99" s="103">
        <v>0</v>
      </c>
      <c r="P99" s="103">
        <v>0</v>
      </c>
      <c r="Q99" s="103">
        <f t="shared" ref="Q99:S99" si="42">P99</f>
        <v>0</v>
      </c>
      <c r="R99" s="103">
        <f t="shared" si="42"/>
        <v>0</v>
      </c>
      <c r="S99" s="103">
        <f t="shared" si="42"/>
        <v>0</v>
      </c>
    </row>
    <row r="100" spans="2:20">
      <c r="B100" s="1" t="s">
        <v>181</v>
      </c>
      <c r="C100" s="1" t="s">
        <v>183</v>
      </c>
      <c r="D100" s="103">
        <f>SUM($D$98:D98)-D99</f>
        <v>0</v>
      </c>
      <c r="E100" s="103">
        <f>SUM($D$98:E98)-SUM($E$99:E99)</f>
        <v>1494</v>
      </c>
      <c r="F100" s="103">
        <f>SUM($D$98:F98)-SUM($E$99:F99)</f>
        <v>1328</v>
      </c>
      <c r="G100" s="103">
        <f>SUM($D$98:G98)-SUM($E$99:G99)</f>
        <v>1162</v>
      </c>
      <c r="H100" s="103">
        <f>SUM($D$98:H98)-SUM($E$99:H99)</f>
        <v>996</v>
      </c>
      <c r="I100" s="103">
        <f>SUM($D$98:I98)-SUM($E$99:I99)</f>
        <v>830</v>
      </c>
      <c r="J100" s="103">
        <f>SUM($D$98:J98)-SUM($E$99:J99)</f>
        <v>664</v>
      </c>
      <c r="K100" s="103">
        <f>SUM($D$98:K98)-SUM($E$99:K99)</f>
        <v>498</v>
      </c>
      <c r="L100" s="103">
        <f>SUM($D$98:L98)-SUM($E$99:L99)</f>
        <v>332</v>
      </c>
      <c r="M100" s="103">
        <f>SUM($D$98:M98)-SUM($E$99:M99)</f>
        <v>166</v>
      </c>
      <c r="N100" s="103">
        <f>SUM($D$98:N98)-SUM($E$99:N99)</f>
        <v>0</v>
      </c>
      <c r="O100" s="103">
        <f>SUM($D$98:O98)-SUM($E$99:O99)</f>
        <v>0</v>
      </c>
      <c r="P100" s="103">
        <f>SUM($D$98:P98)-SUM($E$99:P99)</f>
        <v>0</v>
      </c>
      <c r="Q100" s="103">
        <f>SUM($D$98:Q98)-SUM($E$99:Q99)</f>
        <v>0</v>
      </c>
      <c r="R100" s="103">
        <f>SUM($D$98:R98)-SUM($E$99:R99)</f>
        <v>0</v>
      </c>
      <c r="S100" s="103">
        <f>SUM($D$98:S98)-SUM($E$99:S99)</f>
        <v>0</v>
      </c>
    </row>
    <row r="101" spans="2:20">
      <c r="B101" s="1" t="s">
        <v>182</v>
      </c>
      <c r="C101" s="1" t="s">
        <v>183</v>
      </c>
      <c r="D101" s="103"/>
      <c r="E101" s="103"/>
      <c r="F101" s="103"/>
      <c r="G101" s="103">
        <f>ZAŁOŻENIA!G137</f>
        <v>320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20">
      <c r="B102" s="1" t="s">
        <v>30</v>
      </c>
      <c r="C102" s="1" t="s">
        <v>183</v>
      </c>
      <c r="D102" s="103">
        <f>SUM($D$101:D101)*ZAŁOŻENIA!$D$85</f>
        <v>0</v>
      </c>
      <c r="E102" s="103">
        <f>SUM($D$101:E101)*ZAŁOŻENIA!$D$85</f>
        <v>0</v>
      </c>
      <c r="F102" s="103">
        <f>SUM($D$101:F101)*ZAŁOŻENIA!$D$85</f>
        <v>0</v>
      </c>
      <c r="G102" s="103">
        <f>SUM($D$101:G101)*ZAŁOŻENIA!$D$85</f>
        <v>32</v>
      </c>
      <c r="H102" s="103">
        <f>SUM($D$101:H101)*ZAŁOŻENIA!$D$85</f>
        <v>32</v>
      </c>
      <c r="I102" s="103">
        <f>SUM($D$101:I101)*ZAŁOŻENIA!$D$85</f>
        <v>32</v>
      </c>
      <c r="J102" s="103">
        <f>SUM($D$101:J101)*ZAŁOŻENIA!$D$85</f>
        <v>32</v>
      </c>
      <c r="K102" s="103">
        <f>SUM($D$101:K101)*ZAŁOŻENIA!$D$85</f>
        <v>32</v>
      </c>
      <c r="L102" s="103">
        <f>SUM($D$101:L101)*ZAŁOŻENIA!$D$85</f>
        <v>32</v>
      </c>
      <c r="M102" s="103">
        <f>SUM($D$101:M101)*ZAŁOŻENIA!$D$85</f>
        <v>32</v>
      </c>
      <c r="N102" s="103">
        <f>SUM($D$101:N101)*ZAŁOŻENIA!$D$85</f>
        <v>32</v>
      </c>
      <c r="O102" s="103">
        <f>SUM($D$101:O101)*ZAŁOŻENIA!$D$85</f>
        <v>32</v>
      </c>
      <c r="P102" s="103">
        <f>SUM($D$101:P101)*ZAŁOŻENIA!$D$85</f>
        <v>32</v>
      </c>
      <c r="Q102" s="103">
        <v>0</v>
      </c>
      <c r="R102" s="103">
        <v>0</v>
      </c>
      <c r="S102" s="103">
        <f t="shared" ref="S102" si="43">R102</f>
        <v>0</v>
      </c>
      <c r="T102" s="103"/>
    </row>
    <row r="103" spans="2:20">
      <c r="B103" s="1" t="s">
        <v>181</v>
      </c>
      <c r="C103" s="1" t="s">
        <v>183</v>
      </c>
      <c r="D103" s="103">
        <f>SUM($D$101:D101)-D102</f>
        <v>0</v>
      </c>
      <c r="E103" s="103">
        <f>SUM($D$101:E101)-SUM($E$102:E102)</f>
        <v>0</v>
      </c>
      <c r="F103" s="103">
        <f>SUM($D$101:F101)-SUM($E$102:F102)</f>
        <v>0</v>
      </c>
      <c r="G103" s="103">
        <f>SUM($D$101:G101)-SUM($E$102:G102)</f>
        <v>288</v>
      </c>
      <c r="H103" s="103">
        <f>SUM($D$101:H101)-SUM($E$102:H102)</f>
        <v>256</v>
      </c>
      <c r="I103" s="103">
        <f>SUM($D$101:I101)-SUM($E$102:I102)</f>
        <v>224</v>
      </c>
      <c r="J103" s="103">
        <f>SUM($D$101:J101)-SUM($E$102:J102)</f>
        <v>192</v>
      </c>
      <c r="K103" s="103">
        <f>SUM($D$101:K101)-SUM($E$102:K102)</f>
        <v>160</v>
      </c>
      <c r="L103" s="103">
        <f>SUM($D$101:L101)-SUM($E$102:L102)</f>
        <v>128</v>
      </c>
      <c r="M103" s="103">
        <f>SUM($D$101:M101)-SUM($E$102:M102)</f>
        <v>96</v>
      </c>
      <c r="N103" s="103">
        <f>SUM($D$101:N101)-SUM($E$102:N102)</f>
        <v>64</v>
      </c>
      <c r="O103" s="103">
        <f>SUM($D$101:O101)-SUM($E$102:O102)</f>
        <v>32</v>
      </c>
      <c r="P103" s="103">
        <f>SUM($D$101:P101)-SUM($E$102:P102)</f>
        <v>0</v>
      </c>
      <c r="Q103" s="103">
        <f>SUM($D$101:Q101)-SUM($E$102:Q102)</f>
        <v>0</v>
      </c>
      <c r="R103" s="103">
        <f>SUM($D$101:R101)-SUM($E$102:R102)</f>
        <v>0</v>
      </c>
      <c r="S103" s="103">
        <f>SUM($D$101:S101)-SUM($E$102:S102)</f>
        <v>0</v>
      </c>
    </row>
    <row r="104" spans="2:20">
      <c r="B104" s="1" t="s">
        <v>182</v>
      </c>
      <c r="C104" s="1" t="s">
        <v>183</v>
      </c>
      <c r="D104" s="103"/>
      <c r="E104" s="103"/>
      <c r="F104" s="103"/>
      <c r="G104" s="103"/>
      <c r="H104" s="103"/>
      <c r="I104" s="103"/>
      <c r="J104" s="103">
        <f>ZAŁOŻENIA!J137</f>
        <v>320</v>
      </c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20">
      <c r="B105" s="1" t="s">
        <v>30</v>
      </c>
      <c r="C105" s="1" t="s">
        <v>183</v>
      </c>
      <c r="D105" s="103">
        <f>SUM($D$104:D104)*ZAŁOŻENIA!$D$85</f>
        <v>0</v>
      </c>
      <c r="E105" s="103">
        <f>SUM($D$104:E104)*ZAŁOŻENIA!$D$85</f>
        <v>0</v>
      </c>
      <c r="F105" s="103">
        <f>SUM($D$104:F104)*ZAŁOŻENIA!$D$85</f>
        <v>0</v>
      </c>
      <c r="G105" s="103">
        <f>SUM($D$104:G104)*ZAŁOŻENIA!$D$85</f>
        <v>0</v>
      </c>
      <c r="H105" s="103">
        <f>SUM($D$104:H104)*ZAŁOŻENIA!$D$85</f>
        <v>0</v>
      </c>
      <c r="I105" s="103">
        <f>SUM($D$104:I104)*ZAŁOŻENIA!$D$85</f>
        <v>0</v>
      </c>
      <c r="J105" s="103">
        <f>SUM($D$104:J104)*ZAŁOŻENIA!$D$85</f>
        <v>32</v>
      </c>
      <c r="K105" s="103">
        <f>SUM($D$104:K104)*ZAŁOŻENIA!$D$85</f>
        <v>32</v>
      </c>
      <c r="L105" s="103">
        <f>SUM($D$104:L104)*ZAŁOŻENIA!$D$85</f>
        <v>32</v>
      </c>
      <c r="M105" s="103">
        <f>SUM($D$104:M104)*ZAŁOŻENIA!$D$85</f>
        <v>32</v>
      </c>
      <c r="N105" s="103">
        <f>SUM($D$104:N104)*ZAŁOŻENIA!$D$85</f>
        <v>32</v>
      </c>
      <c r="O105" s="103">
        <f>SUM($D$104:O104)*ZAŁOŻENIA!$D$85</f>
        <v>32</v>
      </c>
      <c r="P105" s="103">
        <f>SUM($D$104:P104)*ZAŁOŻENIA!$D$85</f>
        <v>32</v>
      </c>
      <c r="Q105" s="103">
        <f>SUM($D$104:Q104)*ZAŁOŻENIA!$D$85</f>
        <v>32</v>
      </c>
      <c r="R105" s="103">
        <f>SUM($D$104:R104)*ZAŁOŻENIA!$D$85</f>
        <v>32</v>
      </c>
      <c r="S105" s="103">
        <f>SUM($D$104:S104)*ZAŁOŻENIA!$D$85</f>
        <v>32</v>
      </c>
    </row>
    <row r="106" spans="2:20">
      <c r="B106" s="1" t="s">
        <v>181</v>
      </c>
      <c r="C106" s="1" t="s">
        <v>183</v>
      </c>
      <c r="D106" s="103">
        <f>SUM($D$104:D104)-D105</f>
        <v>0</v>
      </c>
      <c r="E106" s="103">
        <f>SUM($D$104:E104)-SUM($E$105:E105)</f>
        <v>0</v>
      </c>
      <c r="F106" s="103">
        <f>SUM($D$104:F104)-SUM($E$105:F105)</f>
        <v>0</v>
      </c>
      <c r="G106" s="103">
        <f>SUM($D$104:G104)-SUM($E$105:G105)</f>
        <v>0</v>
      </c>
      <c r="H106" s="103">
        <f>SUM($D$104:H104)-SUM($E$105:H105)</f>
        <v>0</v>
      </c>
      <c r="I106" s="103">
        <f>SUM($D$104:I104)-SUM($E$105:I105)</f>
        <v>0</v>
      </c>
      <c r="J106" s="103">
        <f>SUM($D$104:J104)-SUM($E$105:J105)</f>
        <v>288</v>
      </c>
      <c r="K106" s="103">
        <f>SUM($D$104:K104)-SUM($E$105:K105)</f>
        <v>256</v>
      </c>
      <c r="L106" s="103">
        <f>SUM($D$104:L104)-SUM($E$105:L105)</f>
        <v>224</v>
      </c>
      <c r="M106" s="103">
        <f>SUM($D$104:M104)-SUM($E$105:M105)</f>
        <v>192</v>
      </c>
      <c r="N106" s="103">
        <f>SUM($D$104:N104)-SUM($E$105:N105)</f>
        <v>160</v>
      </c>
      <c r="O106" s="103">
        <f>SUM($D$104:O104)-SUM($E$105:O105)</f>
        <v>128</v>
      </c>
      <c r="P106" s="103">
        <f>SUM($D$104:P104)-SUM($E$105:P105)</f>
        <v>96</v>
      </c>
      <c r="Q106" s="103">
        <f>SUM($D$104:Q104)-SUM($E$105:Q105)</f>
        <v>64</v>
      </c>
      <c r="R106" s="103">
        <f>SUM($D$104:R104)-SUM($E$105:R105)</f>
        <v>32</v>
      </c>
      <c r="S106" s="103">
        <f>SUM($D$104:S104)-SUM($E$105:S105)</f>
        <v>0</v>
      </c>
    </row>
    <row r="107" spans="2:20">
      <c r="B107" s="97" t="s">
        <v>189</v>
      </c>
      <c r="C107" s="97" t="s">
        <v>183</v>
      </c>
      <c r="D107" s="114">
        <f>SUM(D100,D103,D106)</f>
        <v>0</v>
      </c>
      <c r="E107" s="114">
        <f t="shared" ref="E107:S107" si="44">SUM(E100,E103,E106)</f>
        <v>1494</v>
      </c>
      <c r="F107" s="114">
        <f t="shared" si="44"/>
        <v>1328</v>
      </c>
      <c r="G107" s="114">
        <f t="shared" si="44"/>
        <v>1450</v>
      </c>
      <c r="H107" s="114">
        <f t="shared" si="44"/>
        <v>1252</v>
      </c>
      <c r="I107" s="114">
        <f t="shared" si="44"/>
        <v>1054</v>
      </c>
      <c r="J107" s="114">
        <f t="shared" si="44"/>
        <v>1144</v>
      </c>
      <c r="K107" s="114">
        <f t="shared" si="44"/>
        <v>914</v>
      </c>
      <c r="L107" s="114">
        <f t="shared" si="44"/>
        <v>684</v>
      </c>
      <c r="M107" s="114">
        <f t="shared" si="44"/>
        <v>454</v>
      </c>
      <c r="N107" s="114">
        <f t="shared" si="44"/>
        <v>224</v>
      </c>
      <c r="O107" s="114">
        <f t="shared" si="44"/>
        <v>160</v>
      </c>
      <c r="P107" s="114">
        <f t="shared" si="44"/>
        <v>96</v>
      </c>
      <c r="Q107" s="114">
        <f t="shared" si="44"/>
        <v>64</v>
      </c>
      <c r="R107" s="114">
        <f t="shared" si="44"/>
        <v>32</v>
      </c>
      <c r="S107" s="114">
        <f t="shared" si="44"/>
        <v>0</v>
      </c>
    </row>
    <row r="108" spans="2:20" s="97" customFormat="1">
      <c r="B108" s="99" t="s">
        <v>184</v>
      </c>
      <c r="C108" s="99"/>
      <c r="D108" s="104">
        <f>D97+D107</f>
        <v>0</v>
      </c>
      <c r="E108" s="104">
        <f t="shared" ref="E108:S108" si="45">E97+E107</f>
        <v>6044</v>
      </c>
      <c r="F108" s="104">
        <f t="shared" si="45"/>
        <v>5228</v>
      </c>
      <c r="G108" s="104">
        <f t="shared" si="45"/>
        <v>11525</v>
      </c>
      <c r="H108" s="104">
        <f t="shared" si="45"/>
        <v>9702</v>
      </c>
      <c r="I108" s="104">
        <f t="shared" si="45"/>
        <v>7879</v>
      </c>
      <c r="J108" s="104">
        <f t="shared" si="45"/>
        <v>13169</v>
      </c>
      <c r="K108" s="104">
        <f t="shared" si="45"/>
        <v>10339</v>
      </c>
      <c r="L108" s="104">
        <f t="shared" si="45"/>
        <v>7509</v>
      </c>
      <c r="M108" s="104">
        <f t="shared" si="45"/>
        <v>5329</v>
      </c>
      <c r="N108" s="104">
        <f t="shared" si="45"/>
        <v>3149</v>
      </c>
      <c r="O108" s="104">
        <f t="shared" si="45"/>
        <v>2110</v>
      </c>
      <c r="P108" s="104">
        <f t="shared" si="45"/>
        <v>1071</v>
      </c>
      <c r="Q108" s="104">
        <f t="shared" si="45"/>
        <v>64</v>
      </c>
      <c r="R108" s="104">
        <f t="shared" si="45"/>
        <v>32</v>
      </c>
      <c r="S108" s="104">
        <f t="shared" si="45"/>
        <v>0</v>
      </c>
    </row>
    <row r="109" spans="2:20">
      <c r="B109" s="112" t="s">
        <v>162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</row>
    <row r="110" spans="2:20">
      <c r="B110" s="1" t="s">
        <v>185</v>
      </c>
      <c r="C110" s="1" t="s">
        <v>183</v>
      </c>
      <c r="D110" s="103"/>
      <c r="E110" s="103">
        <f>ZAŁOŻENIA!E144</f>
        <v>7200</v>
      </c>
      <c r="F110" s="103"/>
      <c r="G110" s="103"/>
      <c r="H110" s="103"/>
      <c r="I110" s="103"/>
      <c r="J110" s="103"/>
      <c r="K110" s="103"/>
    </row>
    <row r="111" spans="2:20">
      <c r="B111" s="1" t="s">
        <v>30</v>
      </c>
      <c r="C111" s="1" t="s">
        <v>183</v>
      </c>
      <c r="D111" s="103">
        <f>SUM($D$110:D110)*ZAŁOŻENIA!$D$82</f>
        <v>0</v>
      </c>
      <c r="E111" s="103">
        <f>SUM($D$110:E110)*ZAŁOŻENIA!$D$82</f>
        <v>900</v>
      </c>
      <c r="F111" s="103">
        <f>SUM($D$110:F110)*ZAŁOŻENIA!$D$82</f>
        <v>900</v>
      </c>
      <c r="G111" s="103">
        <f>SUM($D$110:G110)*ZAŁOŻENIA!$D$82</f>
        <v>900</v>
      </c>
      <c r="H111" s="103">
        <f>SUM($D$110:H110)*ZAŁOŻENIA!$D$82</f>
        <v>900</v>
      </c>
      <c r="I111" s="103">
        <f>SUM($D$110:I110)*ZAŁOŻENIA!$D$82</f>
        <v>900</v>
      </c>
      <c r="J111" s="103">
        <f>SUM($D$110:J110)*ZAŁOŻENIA!$D$82</f>
        <v>900</v>
      </c>
      <c r="K111" s="103">
        <f>SUM($D$110:K110)*ZAŁOŻENIA!$D$82</f>
        <v>900</v>
      </c>
      <c r="L111" s="103">
        <f>SUM($D$110:L110)*ZAŁOŻENIA!$D$82</f>
        <v>900</v>
      </c>
      <c r="M111" s="103">
        <v>0</v>
      </c>
      <c r="N111" s="103">
        <v>0</v>
      </c>
      <c r="O111" s="103">
        <f>N111</f>
        <v>0</v>
      </c>
      <c r="P111" s="103">
        <f t="shared" ref="P111:S111" si="46">O111</f>
        <v>0</v>
      </c>
      <c r="Q111" s="103">
        <f t="shared" si="46"/>
        <v>0</v>
      </c>
      <c r="R111" s="103">
        <f t="shared" si="46"/>
        <v>0</v>
      </c>
      <c r="S111" s="103">
        <f t="shared" si="46"/>
        <v>0</v>
      </c>
    </row>
    <row r="112" spans="2:20">
      <c r="B112" s="1" t="s">
        <v>181</v>
      </c>
      <c r="C112" s="1" t="s">
        <v>183</v>
      </c>
      <c r="D112" s="103">
        <f>SUM($D$110:D110)-D111</f>
        <v>0</v>
      </c>
      <c r="E112" s="103">
        <f>SUM($D$110:E110)-SUM($E$111:E111)</f>
        <v>6300</v>
      </c>
      <c r="F112" s="103">
        <f>SUM($D$110:F110)-SUM($E$111:F111)</f>
        <v>5400</v>
      </c>
      <c r="G112" s="103">
        <f>SUM($D$110:G110)-SUM($E$111:G111)</f>
        <v>4500</v>
      </c>
      <c r="H112" s="103">
        <f>SUM($D$110:H110)-SUM($E$111:H111)</f>
        <v>3600</v>
      </c>
      <c r="I112" s="103">
        <f>SUM($D$110:I110)-SUM($E$111:I111)</f>
        <v>2700</v>
      </c>
      <c r="J112" s="103">
        <f>SUM($D$110:J110)-SUM($E$111:J111)</f>
        <v>1800</v>
      </c>
      <c r="K112" s="103">
        <f>SUM($D$110:K110)-SUM($E$111:K111)</f>
        <v>900</v>
      </c>
      <c r="L112" s="103">
        <f>SUM($D$110:L110)-SUM($E$111:L111)</f>
        <v>0</v>
      </c>
      <c r="M112" s="103">
        <f>SUM($D$110:M110)-SUM($E$111:M111)</f>
        <v>0</v>
      </c>
      <c r="N112" s="103">
        <f>SUM($D$110:N110)-SUM($E$111:N111)</f>
        <v>0</v>
      </c>
      <c r="O112" s="103">
        <f>SUM($D$110:O110)-SUM($E$111:O111)</f>
        <v>0</v>
      </c>
      <c r="P112" s="103">
        <f>SUM($D$110:P110)-SUM($E$111:P111)</f>
        <v>0</v>
      </c>
      <c r="Q112" s="103">
        <f>SUM($D$110:Q110)-SUM($E$111:Q111)</f>
        <v>0</v>
      </c>
      <c r="R112" s="103">
        <f>SUM($D$110:R110)-SUM($E$111:R111)</f>
        <v>0</v>
      </c>
      <c r="S112" s="103">
        <f>SUM($D$110:S110)-SUM($E$111:S111)</f>
        <v>0</v>
      </c>
    </row>
    <row r="113" spans="2:19">
      <c r="B113" s="1" t="s">
        <v>186</v>
      </c>
      <c r="C113" s="1" t="s">
        <v>183</v>
      </c>
      <c r="D113" s="103"/>
      <c r="E113" s="103"/>
      <c r="F113" s="103"/>
      <c r="G113" s="103">
        <f>ZAŁOŻENIA!G144</f>
        <v>10800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" t="s">
        <v>30</v>
      </c>
      <c r="C114" s="1" t="s">
        <v>183</v>
      </c>
      <c r="D114" s="103">
        <f>SUM($D$113:D113)*ZAŁOŻENIA!$D$82</f>
        <v>0</v>
      </c>
      <c r="E114" s="103">
        <f>SUM($D$113:E113)*ZAŁOŻENIA!$D$82</f>
        <v>0</v>
      </c>
      <c r="F114" s="103">
        <f>SUM($D$113:F113)*ZAŁOŻENIA!$D$82</f>
        <v>0</v>
      </c>
      <c r="G114" s="103">
        <f>SUM($D$113:G113)*ZAŁOŻENIA!$D$82</f>
        <v>1350</v>
      </c>
      <c r="H114" s="103">
        <f>SUM($D$113:H113)*ZAŁOŻENIA!$D$82</f>
        <v>1350</v>
      </c>
      <c r="I114" s="103">
        <f>SUM($D$113:I113)*ZAŁOŻENIA!$D$82</f>
        <v>1350</v>
      </c>
      <c r="J114" s="103">
        <f>SUM($D$113:J113)*ZAŁOŻENIA!$D$82</f>
        <v>1350</v>
      </c>
      <c r="K114" s="103">
        <f>SUM($D$113:K113)*ZAŁOŻENIA!$D$82</f>
        <v>1350</v>
      </c>
      <c r="L114" s="103">
        <f>SUM($D$113:L113)*ZAŁOŻENIA!$D$82</f>
        <v>1350</v>
      </c>
      <c r="M114" s="103">
        <f>SUM($D$113:M113)*ZAŁOŻENIA!$D$82</f>
        <v>1350</v>
      </c>
      <c r="N114" s="103">
        <f>SUM($D$113:N113)*ZAŁOŻENIA!$D$82</f>
        <v>1350</v>
      </c>
      <c r="O114" s="103">
        <v>0</v>
      </c>
      <c r="P114" s="103">
        <v>0</v>
      </c>
      <c r="Q114" s="103">
        <f>P114</f>
        <v>0</v>
      </c>
      <c r="R114" s="103">
        <f t="shared" ref="R114:S114" si="47">Q114</f>
        <v>0</v>
      </c>
      <c r="S114" s="103">
        <f t="shared" si="47"/>
        <v>0</v>
      </c>
    </row>
    <row r="115" spans="2:19">
      <c r="B115" s="1" t="s">
        <v>181</v>
      </c>
      <c r="C115" s="1" t="s">
        <v>183</v>
      </c>
      <c r="D115" s="103">
        <f>SUM($D$113:D113)-D114</f>
        <v>0</v>
      </c>
      <c r="E115" s="103">
        <f>SUM($D$113:E113)-SUM($E$114:E114)</f>
        <v>0</v>
      </c>
      <c r="F115" s="103">
        <f>SUM($D$113:F113)-SUM($E$114:F114)</f>
        <v>0</v>
      </c>
      <c r="G115" s="103">
        <f>SUM($D$113:G113)-SUM($E$114:G114)</f>
        <v>9450</v>
      </c>
      <c r="H115" s="103">
        <f>SUM($D$113:H113)-SUM($E$114:H114)</f>
        <v>8100</v>
      </c>
      <c r="I115" s="103">
        <f>SUM($D$113:I113)-SUM($E$114:I114)</f>
        <v>6750</v>
      </c>
      <c r="J115" s="103">
        <f>SUM($D$113:J113)-SUM($E$114:J114)</f>
        <v>5400</v>
      </c>
      <c r="K115" s="103">
        <f>SUM($D$113:K113)-SUM($E$114:K114)</f>
        <v>4050</v>
      </c>
      <c r="L115" s="103">
        <f>SUM($D$113:L113)-SUM($E$114:L114)</f>
        <v>2700</v>
      </c>
      <c r="M115" s="103">
        <f>SUM($D$113:M113)-SUM($E$114:M114)</f>
        <v>1350</v>
      </c>
      <c r="N115" s="103">
        <f>SUM($D$113:N113)-SUM($E$114:N114)</f>
        <v>0</v>
      </c>
      <c r="O115" s="103">
        <f>SUM($D$113:O113)-SUM($E$114:O114)</f>
        <v>0</v>
      </c>
      <c r="P115" s="103">
        <f>SUM($D$113:P113)-SUM($E$114:P114)</f>
        <v>0</v>
      </c>
      <c r="Q115" s="103">
        <f>SUM($D$113:Q113)-SUM($E$114:Q114)</f>
        <v>0</v>
      </c>
      <c r="R115" s="103">
        <f>SUM($D$113:R113)-SUM($E$114:R114)</f>
        <v>0</v>
      </c>
      <c r="S115" s="103">
        <f>SUM($D$113:S113)-SUM($E$114:S114)</f>
        <v>0</v>
      </c>
    </row>
    <row r="116" spans="2:19">
      <c r="B116" s="1" t="s">
        <v>187</v>
      </c>
      <c r="C116" s="1" t="s">
        <v>183</v>
      </c>
      <c r="D116" s="103"/>
      <c r="E116" s="103"/>
      <c r="F116" s="103"/>
      <c r="G116" s="103"/>
      <c r="H116" s="103"/>
      <c r="I116" s="103"/>
      <c r="J116" s="103">
        <f>ZAŁOŻENIA!J144</f>
        <v>10800</v>
      </c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" t="s">
        <v>30</v>
      </c>
      <c r="C117" s="1" t="s">
        <v>183</v>
      </c>
      <c r="D117" s="103">
        <f>SUM($D$116:D116)*ZAŁOŻENIA!$D$82</f>
        <v>0</v>
      </c>
      <c r="E117" s="103">
        <f>SUM($D$116:E116)*ZAŁOŻENIA!$D$82</f>
        <v>0</v>
      </c>
      <c r="F117" s="103">
        <f>SUM($D$116:F116)*ZAŁOŻENIA!$D$82</f>
        <v>0</v>
      </c>
      <c r="G117" s="103">
        <f>SUM($D$116:G116)*ZAŁOŻENIA!$D$82</f>
        <v>0</v>
      </c>
      <c r="H117" s="103">
        <f>SUM($D$116:H116)*ZAŁOŻENIA!$D$82</f>
        <v>0</v>
      </c>
      <c r="I117" s="103">
        <f>SUM($D$116:I116)*ZAŁOŻENIA!$D$82</f>
        <v>0</v>
      </c>
      <c r="J117" s="103">
        <f>SUM($D$116:J116)*ZAŁOŻENIA!$D$82</f>
        <v>1350</v>
      </c>
      <c r="K117" s="103">
        <f>SUM($D$116:K116)*ZAŁOŻENIA!$D$82</f>
        <v>1350</v>
      </c>
      <c r="L117" s="103">
        <f>SUM($D$116:L116)*ZAŁOŻENIA!$D$82</f>
        <v>1350</v>
      </c>
      <c r="M117" s="103">
        <f>SUM($D$116:M116)*ZAŁOŻENIA!$D$82</f>
        <v>1350</v>
      </c>
      <c r="N117" s="103">
        <f>SUM($D$116:N116)*ZAŁOŻENIA!$D$82</f>
        <v>1350</v>
      </c>
      <c r="O117" s="103">
        <f>SUM($D$116:O116)*ZAŁOŻENIA!$D$82</f>
        <v>1350</v>
      </c>
      <c r="P117" s="103">
        <f>SUM($D$116:P116)*ZAŁOŻENIA!$D$82</f>
        <v>1350</v>
      </c>
      <c r="Q117" s="103">
        <f>SUM($D$116:Q116)*ZAŁOŻENIA!$D$82</f>
        <v>1350</v>
      </c>
      <c r="R117" s="103">
        <v>0</v>
      </c>
      <c r="S117" s="103">
        <v>0</v>
      </c>
    </row>
    <row r="118" spans="2:19">
      <c r="B118" s="1" t="s">
        <v>181</v>
      </c>
      <c r="C118" s="1" t="s">
        <v>183</v>
      </c>
      <c r="D118" s="103">
        <f>SUM($D$116:D116)-D117</f>
        <v>0</v>
      </c>
      <c r="E118" s="103">
        <f>SUM($D$116:E116)-SUM($E$117:E117)</f>
        <v>0</v>
      </c>
      <c r="F118" s="103">
        <f>SUM($D$116:F116)-SUM($E$117:F117)</f>
        <v>0</v>
      </c>
      <c r="G118" s="103">
        <f>SUM($D$116:G116)-SUM($E$117:G117)</f>
        <v>0</v>
      </c>
      <c r="H118" s="103">
        <f>SUM($D$116:H116)-SUM($E$117:H117)</f>
        <v>0</v>
      </c>
      <c r="I118" s="103">
        <f>SUM($D$116:I116)-SUM($E$117:I117)</f>
        <v>0</v>
      </c>
      <c r="J118" s="103">
        <f>SUM($D$116:J116)-SUM($E$117:J117)</f>
        <v>9450</v>
      </c>
      <c r="K118" s="103">
        <f>SUM($D$116:K116)-SUM($E$117:K117)</f>
        <v>8100</v>
      </c>
      <c r="L118" s="103">
        <f>SUM($D$116:L116)-SUM($E$117:L117)</f>
        <v>6750</v>
      </c>
      <c r="M118" s="103">
        <f>SUM($D$116:M116)-SUM($E$117:M117)</f>
        <v>5400</v>
      </c>
      <c r="N118" s="103">
        <f>SUM($D$116:N116)-SUM($E$117:N117)</f>
        <v>4050</v>
      </c>
      <c r="O118" s="103">
        <f>SUM($D$116:O116)-SUM($E$117:O117)</f>
        <v>2700</v>
      </c>
      <c r="P118" s="103">
        <f>SUM($D$116:P116)-SUM($E$117:P117)</f>
        <v>1350</v>
      </c>
      <c r="Q118" s="103">
        <f>SUM($D$116:Q116)-SUM($E$117:Q117)</f>
        <v>0</v>
      </c>
      <c r="R118" s="103">
        <f>SUM($D$116:R116)-SUM($E$117:R117)</f>
        <v>0</v>
      </c>
      <c r="S118" s="103">
        <f>SUM($D$116:S116)-SUM($E$117:S117)</f>
        <v>0</v>
      </c>
    </row>
    <row r="119" spans="2:19">
      <c r="B119" s="97" t="s">
        <v>188</v>
      </c>
      <c r="C119" s="97" t="s">
        <v>183</v>
      </c>
      <c r="D119" s="114">
        <f>SUM(D112,D115,D118)</f>
        <v>0</v>
      </c>
      <c r="E119" s="114">
        <f t="shared" ref="E119" si="48">SUM(E112,E115,E118)</f>
        <v>6300</v>
      </c>
      <c r="F119" s="114">
        <f t="shared" ref="F119" si="49">SUM(F112,F115,F118)</f>
        <v>5400</v>
      </c>
      <c r="G119" s="114">
        <f t="shared" ref="G119" si="50">SUM(G112,G115,G118)</f>
        <v>13950</v>
      </c>
      <c r="H119" s="114">
        <f t="shared" ref="H119" si="51">SUM(H112,H115,H118)</f>
        <v>11700</v>
      </c>
      <c r="I119" s="114">
        <f t="shared" ref="I119" si="52">SUM(I112,I115,I118)</f>
        <v>9450</v>
      </c>
      <c r="J119" s="114">
        <f t="shared" ref="J119" si="53">SUM(J112,J115,J118)</f>
        <v>16650</v>
      </c>
      <c r="K119" s="114">
        <f t="shared" ref="K119" si="54">SUM(K112,K115,K118)</f>
        <v>13050</v>
      </c>
      <c r="L119" s="114">
        <f t="shared" ref="L119" si="55">SUM(L112,L115,L118)</f>
        <v>9450</v>
      </c>
      <c r="M119" s="114">
        <f t="shared" ref="M119" si="56">SUM(M112,M115,M118)</f>
        <v>6750</v>
      </c>
      <c r="N119" s="114">
        <f t="shared" ref="N119" si="57">SUM(N112,N115,N118)</f>
        <v>4050</v>
      </c>
      <c r="O119" s="114">
        <f t="shared" ref="O119" si="58">SUM(O112,O115,O118)</f>
        <v>2700</v>
      </c>
      <c r="P119" s="114">
        <f t="shared" ref="P119" si="59">SUM(P112,P115,P118)</f>
        <v>1350</v>
      </c>
      <c r="Q119" s="114">
        <f t="shared" ref="Q119" si="60">SUM(Q112,Q115,Q118)</f>
        <v>0</v>
      </c>
      <c r="R119" s="114">
        <f t="shared" ref="R119" si="61">SUM(R112,R115,R118)</f>
        <v>0</v>
      </c>
      <c r="S119" s="114">
        <f t="shared" ref="S119" si="62">SUM(S112,S115,S118)</f>
        <v>0</v>
      </c>
    </row>
    <row r="120" spans="2:19">
      <c r="B120" s="1" t="s">
        <v>182</v>
      </c>
      <c r="C120" s="1" t="s">
        <v>183</v>
      </c>
      <c r="D120" s="103"/>
      <c r="E120" s="103">
        <f>ZAŁOŻENIA!E146</f>
        <v>10000</v>
      </c>
      <c r="F120" s="103"/>
      <c r="G120" s="103"/>
      <c r="H120" s="103"/>
      <c r="I120" s="103"/>
      <c r="J120" s="103"/>
      <c r="K120" s="103"/>
    </row>
    <row r="121" spans="2:19">
      <c r="B121" s="1" t="s">
        <v>30</v>
      </c>
      <c r="C121" s="1" t="s">
        <v>183</v>
      </c>
      <c r="D121" s="103">
        <f>SUM($D$120:D120)*ZAŁOŻENIA!$D$86</f>
        <v>0</v>
      </c>
      <c r="E121" s="103">
        <f>SUM($D$120:E120)*ZAŁOŻENIA!$D$86</f>
        <v>1000</v>
      </c>
      <c r="F121" s="103">
        <f>SUM($D$120:F120)*ZAŁOŻENIA!$D$86</f>
        <v>1000</v>
      </c>
      <c r="G121" s="103">
        <f>SUM($D$120:G120)*ZAŁOŻENIA!$D$86</f>
        <v>1000</v>
      </c>
      <c r="H121" s="103">
        <f>SUM($D$120:H120)*ZAŁOŻENIA!$D$86</f>
        <v>1000</v>
      </c>
      <c r="I121" s="103">
        <f>SUM($D$120:I120)*ZAŁOŻENIA!$D$86</f>
        <v>1000</v>
      </c>
      <c r="J121" s="103">
        <f>SUM($D$120:J120)*ZAŁOŻENIA!$D$86</f>
        <v>1000</v>
      </c>
      <c r="K121" s="103">
        <f>SUM($D$120:K120)*ZAŁOŻENIA!$D$86</f>
        <v>1000</v>
      </c>
      <c r="L121" s="103">
        <f>SUM($D$120:L120)*ZAŁOŻENIA!$D$86</f>
        <v>1000</v>
      </c>
      <c r="M121" s="103">
        <f>SUM($D$120:M120)*ZAŁOŻENIA!$D$86</f>
        <v>1000</v>
      </c>
      <c r="N121" s="103">
        <f>SUM($D$120:N120)*ZAŁOŻENIA!$D$86</f>
        <v>1000</v>
      </c>
      <c r="O121" s="103">
        <v>0</v>
      </c>
      <c r="P121" s="103">
        <v>0</v>
      </c>
      <c r="Q121" s="103">
        <f>P121</f>
        <v>0</v>
      </c>
      <c r="R121" s="103">
        <f t="shared" ref="R121:S121" si="63">Q121</f>
        <v>0</v>
      </c>
      <c r="S121" s="103">
        <f t="shared" si="63"/>
        <v>0</v>
      </c>
    </row>
    <row r="122" spans="2:19">
      <c r="B122" s="1" t="s">
        <v>181</v>
      </c>
      <c r="C122" s="1" t="s">
        <v>183</v>
      </c>
      <c r="D122" s="103">
        <f>SUM($D$120:D120)-D121</f>
        <v>0</v>
      </c>
      <c r="E122" s="103">
        <f>SUM($D$120:E120)-SUM($E$121:E121)</f>
        <v>9000</v>
      </c>
      <c r="F122" s="103">
        <f>SUM($D$120:F120)-SUM($E$121:F121)</f>
        <v>8000</v>
      </c>
      <c r="G122" s="103">
        <f>SUM($D$120:G120)-SUM($E$121:G121)</f>
        <v>7000</v>
      </c>
      <c r="H122" s="103">
        <f>SUM($D$120:H120)-SUM($E$121:H121)</f>
        <v>6000</v>
      </c>
      <c r="I122" s="103">
        <f>SUM($D$120:I120)-SUM($E$121:I121)</f>
        <v>5000</v>
      </c>
      <c r="J122" s="103">
        <f>SUM($D$120:J120)-SUM($E$121:J121)</f>
        <v>4000</v>
      </c>
      <c r="K122" s="103">
        <f>SUM($D$120:K120)-SUM($E$121:K121)</f>
        <v>3000</v>
      </c>
      <c r="L122" s="103">
        <f>SUM($D$120:L120)-SUM($E$121:L121)</f>
        <v>2000</v>
      </c>
      <c r="M122" s="103">
        <f>SUM($D$120:M120)-SUM($E$121:M121)</f>
        <v>1000</v>
      </c>
      <c r="N122" s="103">
        <f>SUM($D$120:N120)-SUM($E$121:N121)</f>
        <v>0</v>
      </c>
      <c r="O122" s="103">
        <f>SUM($D$120:O120)-SUM($E$121:O121)</f>
        <v>0</v>
      </c>
      <c r="P122" s="103">
        <f>SUM($D$120:P120)-SUM($E$121:P121)</f>
        <v>0</v>
      </c>
      <c r="Q122" s="103">
        <f>SUM($D$120:Q120)-SUM($E$121:Q121)</f>
        <v>0</v>
      </c>
      <c r="R122" s="103">
        <f>SUM($D$120:R120)-SUM($E$121:R121)</f>
        <v>0</v>
      </c>
      <c r="S122" s="103">
        <f>SUM($D$120:S120)-SUM($E$121:S121)</f>
        <v>0</v>
      </c>
    </row>
    <row r="123" spans="2:19">
      <c r="B123" s="97" t="s">
        <v>189</v>
      </c>
      <c r="C123" s="97" t="s">
        <v>183</v>
      </c>
      <c r="D123" s="114">
        <f>D122</f>
        <v>0</v>
      </c>
      <c r="E123" s="114">
        <f t="shared" ref="E123:S123" si="64">E122</f>
        <v>9000</v>
      </c>
      <c r="F123" s="114">
        <f t="shared" si="64"/>
        <v>8000</v>
      </c>
      <c r="G123" s="114">
        <f t="shared" si="64"/>
        <v>7000</v>
      </c>
      <c r="H123" s="114">
        <f t="shared" si="64"/>
        <v>6000</v>
      </c>
      <c r="I123" s="114">
        <f t="shared" si="64"/>
        <v>5000</v>
      </c>
      <c r="J123" s="114">
        <f t="shared" si="64"/>
        <v>4000</v>
      </c>
      <c r="K123" s="114">
        <f t="shared" si="64"/>
        <v>3000</v>
      </c>
      <c r="L123" s="114">
        <f t="shared" si="64"/>
        <v>2000</v>
      </c>
      <c r="M123" s="114">
        <f t="shared" si="64"/>
        <v>1000</v>
      </c>
      <c r="N123" s="114">
        <f t="shared" si="64"/>
        <v>0</v>
      </c>
      <c r="O123" s="114">
        <f t="shared" si="64"/>
        <v>0</v>
      </c>
      <c r="P123" s="114">
        <f t="shared" si="64"/>
        <v>0</v>
      </c>
      <c r="Q123" s="114">
        <f t="shared" si="64"/>
        <v>0</v>
      </c>
      <c r="R123" s="114">
        <f t="shared" si="64"/>
        <v>0</v>
      </c>
      <c r="S123" s="114">
        <f t="shared" si="64"/>
        <v>0</v>
      </c>
    </row>
    <row r="124" spans="2:19">
      <c r="B124" s="99" t="s">
        <v>184</v>
      </c>
      <c r="C124" s="99"/>
      <c r="D124" s="104">
        <f t="shared" ref="D124:S124" si="65">D119+D123</f>
        <v>0</v>
      </c>
      <c r="E124" s="104">
        <f t="shared" si="65"/>
        <v>15300</v>
      </c>
      <c r="F124" s="104">
        <f t="shared" si="65"/>
        <v>13400</v>
      </c>
      <c r="G124" s="104">
        <f t="shared" si="65"/>
        <v>20950</v>
      </c>
      <c r="H124" s="104">
        <f t="shared" si="65"/>
        <v>17700</v>
      </c>
      <c r="I124" s="104">
        <f t="shared" si="65"/>
        <v>14450</v>
      </c>
      <c r="J124" s="104">
        <f t="shared" si="65"/>
        <v>20650</v>
      </c>
      <c r="K124" s="104">
        <f t="shared" si="65"/>
        <v>16050</v>
      </c>
      <c r="L124" s="104">
        <f t="shared" si="65"/>
        <v>11450</v>
      </c>
      <c r="M124" s="104">
        <f t="shared" si="65"/>
        <v>7750</v>
      </c>
      <c r="N124" s="104">
        <f t="shared" si="65"/>
        <v>4050</v>
      </c>
      <c r="O124" s="104">
        <f t="shared" si="65"/>
        <v>2700</v>
      </c>
      <c r="P124" s="104">
        <f t="shared" si="65"/>
        <v>1350</v>
      </c>
      <c r="Q124" s="104">
        <f t="shared" si="65"/>
        <v>0</v>
      </c>
      <c r="R124" s="104">
        <f t="shared" si="65"/>
        <v>0</v>
      </c>
      <c r="S124" s="104">
        <f t="shared" si="65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F66B-F66B-47E7-8D98-93FC3852E834}">
  <dimension ref="B2:S162"/>
  <sheetViews>
    <sheetView tabSelected="1" topLeftCell="A129" workbookViewId="0">
      <selection activeCell="F163" sqref="F163"/>
    </sheetView>
  </sheetViews>
  <sheetFormatPr defaultRowHeight="12.75"/>
  <cols>
    <col min="1" max="1" width="9.140625" style="1"/>
    <col min="2" max="2" width="27.28515625" style="1" customWidth="1"/>
    <col min="3" max="3" width="9.140625" style="1"/>
    <col min="4" max="19" width="10.85546875" style="1" bestFit="1" customWidth="1"/>
    <col min="20" max="16384" width="9.140625" style="1"/>
  </cols>
  <sheetData>
    <row r="2" spans="2:11" s="95" customFormat="1">
      <c r="B2" s="95" t="s">
        <v>190</v>
      </c>
    </row>
    <row r="4" spans="2:11">
      <c r="B4" s="1" t="s">
        <v>191</v>
      </c>
      <c r="C4" s="1">
        <v>0.87</v>
      </c>
    </row>
    <row r="5" spans="2:11">
      <c r="B5" s="1" t="s">
        <v>158</v>
      </c>
      <c r="C5" s="1">
        <v>0.83</v>
      </c>
    </row>
    <row r="6" spans="2:11">
      <c r="B6" s="1" t="s">
        <v>159</v>
      </c>
      <c r="C6" s="1">
        <v>0.78</v>
      </c>
    </row>
    <row r="8" spans="2:11" s="95" customFormat="1">
      <c r="B8" s="115" t="s">
        <v>192</v>
      </c>
    </row>
    <row r="10" spans="2:11">
      <c r="B10" s="1" t="s">
        <v>160</v>
      </c>
    </row>
    <row r="12" spans="2:11" ht="13.5" thickBot="1">
      <c r="B12" s="84" t="s">
        <v>1</v>
      </c>
      <c r="C12" s="84" t="s">
        <v>25</v>
      </c>
      <c r="D12" s="84">
        <v>2021</v>
      </c>
      <c r="E12" s="84">
        <f>D12+1</f>
        <v>2022</v>
      </c>
      <c r="F12" s="84">
        <f t="shared" ref="F12:K12" si="0">E12+1</f>
        <v>2023</v>
      </c>
      <c r="G12" s="84">
        <f t="shared" si="0"/>
        <v>2024</v>
      </c>
      <c r="H12" s="84">
        <f t="shared" si="0"/>
        <v>2025</v>
      </c>
      <c r="I12" s="84">
        <f t="shared" si="0"/>
        <v>2026</v>
      </c>
      <c r="J12" s="84">
        <f t="shared" si="0"/>
        <v>2027</v>
      </c>
      <c r="K12" s="84">
        <f t="shared" si="0"/>
        <v>2028</v>
      </c>
    </row>
    <row r="13" spans="2:11" ht="13.5" thickTop="1">
      <c r="B13" s="1" t="s">
        <v>193</v>
      </c>
      <c r="C13" s="1" t="s">
        <v>183</v>
      </c>
      <c r="D13" s="103">
        <f>PRODUCT($C$4,ZAŁOŻENIA!D127)</f>
        <v>0</v>
      </c>
      <c r="E13" s="103">
        <f>PRODUCT($C$4,ZAŁOŻENIA!E127)</f>
        <v>1740</v>
      </c>
      <c r="F13" s="103">
        <f>PRODUCT($C$4,ZAŁOŻENIA!F127)</f>
        <v>0</v>
      </c>
      <c r="G13" s="103">
        <f>PRODUCT($C$4,ZAŁOŻENIA!G127)</f>
        <v>2610</v>
      </c>
      <c r="H13" s="103">
        <f>PRODUCT($C$4,ZAŁOŻENIA!H127)</f>
        <v>0</v>
      </c>
      <c r="I13" s="103">
        <f>PRODUCT($C$4,ZAŁOŻENIA!I127)</f>
        <v>0</v>
      </c>
      <c r="J13" s="103">
        <f>PRODUCT($C$4,ZAŁOŻENIA!J127)</f>
        <v>2610</v>
      </c>
      <c r="K13" s="103">
        <f>PRODUCT($C$4,ZAŁOŻENIA!K127)</f>
        <v>0</v>
      </c>
    </row>
    <row r="14" spans="2:11">
      <c r="B14" s="99" t="s">
        <v>195</v>
      </c>
      <c r="C14" s="99" t="s">
        <v>183</v>
      </c>
      <c r="D14" s="104">
        <f>D13</f>
        <v>0</v>
      </c>
      <c r="E14" s="104">
        <f t="shared" ref="E14:K14" si="1">E13</f>
        <v>1740</v>
      </c>
      <c r="F14" s="104">
        <f t="shared" si="1"/>
        <v>0</v>
      </c>
      <c r="G14" s="104">
        <f t="shared" si="1"/>
        <v>2610</v>
      </c>
      <c r="H14" s="104">
        <f t="shared" si="1"/>
        <v>0</v>
      </c>
      <c r="I14" s="104">
        <f t="shared" si="1"/>
        <v>0</v>
      </c>
      <c r="J14" s="104">
        <f t="shared" si="1"/>
        <v>2610</v>
      </c>
      <c r="K14" s="104">
        <f t="shared" si="1"/>
        <v>0</v>
      </c>
    </row>
    <row r="16" spans="2:11">
      <c r="B16" s="1" t="s">
        <v>161</v>
      </c>
    </row>
    <row r="18" spans="2:11" ht="13.5" thickBot="1">
      <c r="B18" s="84" t="s">
        <v>1</v>
      </c>
      <c r="C18" s="84" t="s">
        <v>25</v>
      </c>
      <c r="D18" s="84">
        <v>2021</v>
      </c>
      <c r="E18" s="84">
        <f>D18+1</f>
        <v>2022</v>
      </c>
      <c r="F18" s="84">
        <f t="shared" ref="F18:K18" si="2">E18+1</f>
        <v>2023</v>
      </c>
      <c r="G18" s="84">
        <f t="shared" si="2"/>
        <v>2024</v>
      </c>
      <c r="H18" s="84">
        <f t="shared" si="2"/>
        <v>2025</v>
      </c>
      <c r="I18" s="84">
        <f t="shared" si="2"/>
        <v>2026</v>
      </c>
      <c r="J18" s="84">
        <f t="shared" si="2"/>
        <v>2027</v>
      </c>
      <c r="K18" s="84">
        <f t="shared" si="2"/>
        <v>2028</v>
      </c>
    </row>
    <row r="19" spans="2:11" ht="13.5" thickTop="1">
      <c r="B19" s="1" t="s">
        <v>193</v>
      </c>
      <c r="C19" s="1" t="s">
        <v>183</v>
      </c>
      <c r="D19" s="103">
        <f>PRODUCT($C$4,ZAŁOŻENIA!D134)</f>
        <v>0</v>
      </c>
      <c r="E19" s="103">
        <f>PRODUCT($C$4,ZAŁOŻENIA!E134)</f>
        <v>4524</v>
      </c>
      <c r="F19" s="103">
        <f>PRODUCT($C$4,ZAŁOŻENIA!F134)</f>
        <v>0</v>
      </c>
      <c r="G19" s="103">
        <f>PRODUCT($C$4,ZAŁOŻENIA!G134)</f>
        <v>6786</v>
      </c>
      <c r="H19" s="103">
        <f>PRODUCT($C$4,ZAŁOŻENIA!H134)</f>
        <v>0</v>
      </c>
      <c r="I19" s="103">
        <f>PRODUCT($C$4,ZAŁOŻENIA!I134)</f>
        <v>0</v>
      </c>
      <c r="J19" s="103">
        <f>PRODUCT($C$4,ZAŁOŻENIA!J134)</f>
        <v>6786</v>
      </c>
      <c r="K19" s="103">
        <f>PRODUCT($C$4,ZAŁOŻENIA!K134)</f>
        <v>0</v>
      </c>
    </row>
    <row r="20" spans="2:11">
      <c r="B20" s="1" t="s">
        <v>194</v>
      </c>
      <c r="C20" s="1" t="s">
        <v>183</v>
      </c>
      <c r="D20" s="103">
        <f>PRODUCT($C$5,ZAŁOŻENIA!D137)</f>
        <v>0</v>
      </c>
      <c r="E20" s="103">
        <f>PRODUCT($C$5,ZAŁOŻENIA!E137)</f>
        <v>1377.8</v>
      </c>
      <c r="F20" s="103">
        <f>PRODUCT($C$5,ZAŁOŻENIA!F137)</f>
        <v>0</v>
      </c>
      <c r="G20" s="103">
        <f>PRODUCT($C$5,ZAŁOŻENIA!G137)</f>
        <v>265.59999999999997</v>
      </c>
      <c r="H20" s="103">
        <f>PRODUCT($C$5,ZAŁOŻENIA!H137)</f>
        <v>0</v>
      </c>
      <c r="I20" s="103">
        <f>PRODUCT($C$5,ZAŁOŻENIA!I137)</f>
        <v>0</v>
      </c>
      <c r="J20" s="103">
        <f>PRODUCT($C$5,ZAŁOŻENIA!J137)</f>
        <v>265.59999999999997</v>
      </c>
      <c r="K20" s="103">
        <f>PRODUCT($C$5,ZAŁOŻENIA!K137)</f>
        <v>0</v>
      </c>
    </row>
    <row r="21" spans="2:11">
      <c r="B21" s="99" t="s">
        <v>195</v>
      </c>
      <c r="C21" s="99" t="s">
        <v>183</v>
      </c>
      <c r="D21" s="104">
        <f>SUM(D19:D20)</f>
        <v>0</v>
      </c>
      <c r="E21" s="104">
        <f t="shared" ref="E21:K21" si="3">SUM(E19:E20)</f>
        <v>5901.8</v>
      </c>
      <c r="F21" s="104">
        <f t="shared" si="3"/>
        <v>0</v>
      </c>
      <c r="G21" s="104">
        <f t="shared" si="3"/>
        <v>7051.6</v>
      </c>
      <c r="H21" s="104">
        <f t="shared" si="3"/>
        <v>0</v>
      </c>
      <c r="I21" s="104">
        <f t="shared" si="3"/>
        <v>0</v>
      </c>
      <c r="J21" s="104">
        <f t="shared" si="3"/>
        <v>7051.6</v>
      </c>
      <c r="K21" s="104">
        <f t="shared" si="3"/>
        <v>0</v>
      </c>
    </row>
    <row r="24" spans="2:11" ht="13.5" thickBot="1">
      <c r="B24" s="84" t="s">
        <v>1</v>
      </c>
      <c r="C24" s="84" t="s">
        <v>25</v>
      </c>
      <c r="D24" s="84">
        <v>2021</v>
      </c>
      <c r="E24" s="84">
        <f>D24+1</f>
        <v>2022</v>
      </c>
      <c r="F24" s="84">
        <f t="shared" ref="F24:K24" si="4">E24+1</f>
        <v>2023</v>
      </c>
      <c r="G24" s="84">
        <f t="shared" si="4"/>
        <v>2024</v>
      </c>
      <c r="H24" s="84">
        <f t="shared" si="4"/>
        <v>2025</v>
      </c>
      <c r="I24" s="84">
        <f t="shared" si="4"/>
        <v>2026</v>
      </c>
      <c r="J24" s="84">
        <f t="shared" si="4"/>
        <v>2027</v>
      </c>
      <c r="K24" s="84">
        <f t="shared" si="4"/>
        <v>2028</v>
      </c>
    </row>
    <row r="25" spans="2:11" ht="13.5" thickTop="1">
      <c r="B25" s="1" t="s">
        <v>193</v>
      </c>
      <c r="C25" s="1" t="s">
        <v>183</v>
      </c>
      <c r="D25" s="103">
        <f>PRODUCT($C$4,ZAŁOŻENIA!D144)</f>
        <v>0</v>
      </c>
      <c r="E25" s="103">
        <f>PRODUCT($C$4,ZAŁOŻENIA!E144)</f>
        <v>6264</v>
      </c>
      <c r="F25" s="103">
        <f>PRODUCT($C$4,ZAŁOŻENIA!F144)</f>
        <v>0</v>
      </c>
      <c r="G25" s="103">
        <f>PRODUCT($C$4,ZAŁOŻENIA!G144)</f>
        <v>9396</v>
      </c>
      <c r="H25" s="103">
        <f>PRODUCT($C$4,ZAŁOŻENIA!H144)</f>
        <v>0</v>
      </c>
      <c r="I25" s="103">
        <f>PRODUCT($C$4,ZAŁOŻENIA!I144)</f>
        <v>0</v>
      </c>
      <c r="J25" s="103">
        <f>PRODUCT($C$4,ZAŁOŻENIA!J144)</f>
        <v>9396</v>
      </c>
      <c r="K25" s="103">
        <f>PRODUCT($C$4,ZAŁOŻENIA!K144)</f>
        <v>0</v>
      </c>
    </row>
    <row r="26" spans="2:11">
      <c r="B26" s="1" t="s">
        <v>194</v>
      </c>
      <c r="C26" s="1" t="s">
        <v>183</v>
      </c>
      <c r="D26" s="103">
        <f>PRODUCT($C$5,ZAŁOŻENIA!D146)</f>
        <v>0</v>
      </c>
      <c r="E26" s="103">
        <f>PRODUCT($C$5,ZAŁOŻENIA!E146)</f>
        <v>8300</v>
      </c>
      <c r="F26" s="103">
        <f>PRODUCT($C$5,ZAŁOŻENIA!F146)</f>
        <v>0</v>
      </c>
      <c r="G26" s="103">
        <f>PRODUCT($C$5,ZAŁOŻENIA!G146)</f>
        <v>0</v>
      </c>
      <c r="H26" s="103">
        <f>PRODUCT($C$5,ZAŁOŻENIA!H146)</f>
        <v>0</v>
      </c>
      <c r="I26" s="103">
        <f>PRODUCT($C$5,ZAŁOŻENIA!I146)</f>
        <v>0</v>
      </c>
      <c r="J26" s="103">
        <f>PRODUCT($C$5,ZAŁOŻENIA!J146)</f>
        <v>0</v>
      </c>
      <c r="K26" s="103">
        <f>PRODUCT($C$5,ZAŁOŻENIA!K146)</f>
        <v>0</v>
      </c>
    </row>
    <row r="27" spans="2:11">
      <c r="B27" s="99" t="s">
        <v>195</v>
      </c>
      <c r="C27" s="99" t="s">
        <v>183</v>
      </c>
      <c r="D27" s="104">
        <f>SUM(D25:D26)</f>
        <v>0</v>
      </c>
      <c r="E27" s="104">
        <f t="shared" ref="E27" si="5">SUM(E25:E26)</f>
        <v>14564</v>
      </c>
      <c r="F27" s="104">
        <f t="shared" ref="F27" si="6">SUM(F25:F26)</f>
        <v>0</v>
      </c>
      <c r="G27" s="104">
        <f t="shared" ref="G27" si="7">SUM(G25:G26)</f>
        <v>9396</v>
      </c>
      <c r="H27" s="104">
        <f t="shared" ref="H27" si="8">SUM(H25:H26)</f>
        <v>0</v>
      </c>
      <c r="I27" s="104">
        <f t="shared" ref="I27" si="9">SUM(I25:I26)</f>
        <v>0</v>
      </c>
      <c r="J27" s="104">
        <f t="shared" ref="J27" si="10">SUM(J25:J26)</f>
        <v>9396</v>
      </c>
      <c r="K27" s="104">
        <f t="shared" ref="K27" si="11">SUM(K25:K26)</f>
        <v>0</v>
      </c>
    </row>
    <row r="30" spans="2:11" s="116" customFormat="1" ht="20.25">
      <c r="B30" s="117" t="s">
        <v>196</v>
      </c>
    </row>
    <row r="32" spans="2:11" s="98" customFormat="1">
      <c r="B32" s="98" t="s">
        <v>197</v>
      </c>
    </row>
    <row r="34" spans="2:19" s="98" customFormat="1">
      <c r="B34" s="98" t="s">
        <v>198</v>
      </c>
    </row>
    <row r="36" spans="2:19">
      <c r="B36" s="97" t="s">
        <v>161</v>
      </c>
    </row>
    <row r="37" spans="2:19" ht="13.5" thickBot="1">
      <c r="B37" s="84" t="s">
        <v>1</v>
      </c>
      <c r="C37" s="84" t="s">
        <v>25</v>
      </c>
      <c r="D37" s="84">
        <v>2021</v>
      </c>
      <c r="E37" s="84">
        <f>D37+1</f>
        <v>2022</v>
      </c>
      <c r="F37" s="84">
        <f t="shared" ref="F37:S37" si="12">E37+1</f>
        <v>2023</v>
      </c>
      <c r="G37" s="84">
        <f t="shared" si="12"/>
        <v>2024</v>
      </c>
      <c r="H37" s="84">
        <f t="shared" si="12"/>
        <v>2025</v>
      </c>
      <c r="I37" s="84">
        <f t="shared" si="12"/>
        <v>2026</v>
      </c>
      <c r="J37" s="84">
        <f t="shared" si="12"/>
        <v>2027</v>
      </c>
      <c r="K37" s="84">
        <f t="shared" si="12"/>
        <v>2028</v>
      </c>
      <c r="L37" s="84">
        <f t="shared" si="12"/>
        <v>2029</v>
      </c>
      <c r="M37" s="84">
        <f t="shared" si="12"/>
        <v>2030</v>
      </c>
      <c r="N37" s="84">
        <f t="shared" si="12"/>
        <v>2031</v>
      </c>
      <c r="O37" s="84">
        <f t="shared" si="12"/>
        <v>2032</v>
      </c>
      <c r="P37" s="84">
        <f t="shared" si="12"/>
        <v>2033</v>
      </c>
      <c r="Q37" s="84">
        <f t="shared" si="12"/>
        <v>2034</v>
      </c>
      <c r="R37" s="84">
        <f t="shared" si="12"/>
        <v>2035</v>
      </c>
      <c r="S37" s="84">
        <f t="shared" si="12"/>
        <v>2036</v>
      </c>
    </row>
    <row r="38" spans="2:19" ht="13.5" thickTop="1">
      <c r="B38" s="1" t="s">
        <v>199</v>
      </c>
      <c r="C38" s="54" t="s">
        <v>200</v>
      </c>
      <c r="D38" s="119">
        <f>OBLICZENIA!D$44</f>
        <v>0</v>
      </c>
      <c r="E38" s="119">
        <f>OBLICZENIA!E$44</f>
        <v>0</v>
      </c>
      <c r="F38" s="119">
        <f>OBLICZENIA!F$44</f>
        <v>4.7375828918709666E-2</v>
      </c>
      <c r="G38" s="119">
        <f>OBLICZENIA!G$44</f>
        <v>4.7375828918709666E-2</v>
      </c>
      <c r="H38" s="119">
        <f>OBLICZENIA!H$44</f>
        <v>0.1184395722967742</v>
      </c>
      <c r="I38" s="119">
        <f>OBLICZENIA!I$44</f>
        <v>0.1184395722967742</v>
      </c>
      <c r="J38" s="119">
        <f>OBLICZENIA!J$44</f>
        <v>0.1184395722967742</v>
      </c>
      <c r="K38" s="119">
        <f>OBLICZENIA!K$44</f>
        <v>0.18950331567483866</v>
      </c>
      <c r="L38" s="119">
        <f>OBLICZENIA!L$44</f>
        <v>0.18950331567483866</v>
      </c>
      <c r="M38" s="119">
        <f>OBLICZENIA!M$44</f>
        <v>0.18950331567483866</v>
      </c>
      <c r="N38" s="119">
        <f>OBLICZENIA!N$44</f>
        <v>0.18950331567483866</v>
      </c>
      <c r="O38" s="119">
        <f>OBLICZENIA!O$44</f>
        <v>0.18950331567483866</v>
      </c>
      <c r="P38" s="119">
        <f>OBLICZENIA!P$44</f>
        <v>0.18950331567483866</v>
      </c>
      <c r="Q38" s="119">
        <f>OBLICZENIA!Q$44</f>
        <v>0.18950331567483866</v>
      </c>
      <c r="R38" s="119">
        <f>OBLICZENIA!R$44</f>
        <v>0.18950331567483866</v>
      </c>
      <c r="S38" s="119">
        <f>OBLICZENIA!S$44</f>
        <v>0.18950331567483866</v>
      </c>
    </row>
    <row r="39" spans="2:19">
      <c r="B39" s="1" t="s">
        <v>201</v>
      </c>
      <c r="C39" s="54" t="s">
        <v>202</v>
      </c>
      <c r="D39" s="119">
        <f>ZAŁOŻENIA!D$232</f>
        <v>82958.418120835689</v>
      </c>
      <c r="E39" s="119">
        <f>ZAŁOŻENIA!E$232</f>
        <v>86144.483984369945</v>
      </c>
      <c r="F39" s="119">
        <f>ZAŁOŻENIA!F$232</f>
        <v>88842.937942354823</v>
      </c>
      <c r="G39" s="119">
        <f>ZAŁOŻENIA!G$232</f>
        <v>91496.326912005505</v>
      </c>
      <c r="H39" s="119">
        <f>ZAŁOŻENIA!H$232</f>
        <v>94242.591826311735</v>
      </c>
      <c r="I39" s="119">
        <f>ZAŁOŻENIA!I$232</f>
        <v>97085.43512192824</v>
      </c>
      <c r="J39" s="119">
        <f>ZAŁOŻENIA!J$232</f>
        <v>99950.815866672914</v>
      </c>
      <c r="K39" s="119">
        <f>ZAŁOŻENIA!K$232</f>
        <v>102835.55294881284</v>
      </c>
      <c r="L39" s="119">
        <f>ZAŁOŻENIA!L$232</f>
        <v>105653.5409111366</v>
      </c>
      <c r="M39" s="119">
        <f>ZAŁOŻENIA!M$232</f>
        <v>108394.09656067959</v>
      </c>
      <c r="N39" s="119">
        <f>ZAŁOŻENIA!N$232</f>
        <v>111135.92484754616</v>
      </c>
      <c r="O39" s="119">
        <f>ZAŁOŻENIA!O$232</f>
        <v>113874.42991822689</v>
      </c>
      <c r="P39" s="119">
        <f>ZAŁOŻENIA!P$232</f>
        <v>116604.68149769701</v>
      </c>
      <c r="Q39" s="119">
        <f>ZAŁOŻENIA!Q$232</f>
        <v>119321.35959449633</v>
      </c>
      <c r="R39" s="119">
        <f>ZAŁOŻENIA!R$232</f>
        <v>122114.40710544567</v>
      </c>
      <c r="S39" s="119">
        <f>ZAŁOŻENIA!S$232</f>
        <v>124888.0179142447</v>
      </c>
    </row>
    <row r="40" spans="2:19">
      <c r="B40" s="1" t="s">
        <v>203</v>
      </c>
      <c r="C40" s="54" t="s">
        <v>200</v>
      </c>
      <c r="D40" s="119">
        <f>OBLICZENIA!D$56</f>
        <v>0</v>
      </c>
      <c r="E40" s="119">
        <f>OBLICZENIA!E$56</f>
        <v>0</v>
      </c>
      <c r="F40" s="119">
        <f>OBLICZENIA!F$56</f>
        <v>4.0181961599999996E-2</v>
      </c>
      <c r="G40" s="119">
        <f>OBLICZENIA!G$56</f>
        <v>4.0181961599999996E-2</v>
      </c>
      <c r="H40" s="119">
        <f>OBLICZENIA!H$56</f>
        <v>0.10045490400000001</v>
      </c>
      <c r="I40" s="119">
        <f>OBLICZENIA!I$56</f>
        <v>0.10045490400000001</v>
      </c>
      <c r="J40" s="119">
        <f>OBLICZENIA!J$56</f>
        <v>0.10045490400000001</v>
      </c>
      <c r="K40" s="119">
        <f>OBLICZENIA!K$56</f>
        <v>0.16072784639999999</v>
      </c>
      <c r="L40" s="119">
        <f>OBLICZENIA!L$56</f>
        <v>0.16072784639999999</v>
      </c>
      <c r="M40" s="119">
        <f>OBLICZENIA!M$56</f>
        <v>0.16072784639999999</v>
      </c>
      <c r="N40" s="119">
        <f>OBLICZENIA!N$56</f>
        <v>0.16072784639999999</v>
      </c>
      <c r="O40" s="119">
        <f>OBLICZENIA!O$56</f>
        <v>0.16072784639999999</v>
      </c>
      <c r="P40" s="119">
        <f>OBLICZENIA!P$56</f>
        <v>0.16072784639999999</v>
      </c>
      <c r="Q40" s="119">
        <f>OBLICZENIA!Q$56</f>
        <v>0.16072784639999999</v>
      </c>
      <c r="R40" s="119">
        <f>OBLICZENIA!R$56</f>
        <v>0.16072784639999999</v>
      </c>
      <c r="S40" s="119">
        <f>OBLICZENIA!S$56</f>
        <v>0.16072784639999999</v>
      </c>
    </row>
    <row r="41" spans="2:19">
      <c r="B41" s="1" t="s">
        <v>204</v>
      </c>
      <c r="C41" s="54" t="s">
        <v>202</v>
      </c>
      <c r="D41" s="119">
        <f>ZAŁOŻENIA!D$233</f>
        <v>10362.083192404516</v>
      </c>
      <c r="E41" s="119">
        <f>ZAŁOŻENIA!E$233</f>
        <v>10760.044969910135</v>
      </c>
      <c r="F41" s="119">
        <f>ZAŁOŻENIA!F$233</f>
        <v>11097.10063028669</v>
      </c>
      <c r="G41" s="119">
        <f>ZAŁOŻENIA!G$233</f>
        <v>11428.527360305585</v>
      </c>
      <c r="H41" s="119">
        <f>ZAŁOŻENIA!H$233</f>
        <v>11771.554941532759</v>
      </c>
      <c r="I41" s="119">
        <f>ZAŁOŻENIA!I$233</f>
        <v>12126.645834047609</v>
      </c>
      <c r="J41" s="119">
        <f>ZAŁOŻENIA!J$233</f>
        <v>12484.551810650375</v>
      </c>
      <c r="K41" s="119">
        <f>ZAŁOŻENIA!K$233</f>
        <v>12844.87552836891</v>
      </c>
      <c r="L41" s="119">
        <f>ZAŁOŻENIA!L$233</f>
        <v>13196.86181694858</v>
      </c>
      <c r="M41" s="119">
        <f>ZAŁOŻENIA!M$233</f>
        <v>13539.176271313112</v>
      </c>
      <c r="N41" s="119">
        <f>ZAŁOŻENIA!N$233</f>
        <v>13881.649686927383</v>
      </c>
      <c r="O41" s="119">
        <f>ZAŁOŻENIA!O$233</f>
        <v>14223.708009735352</v>
      </c>
      <c r="P41" s="119">
        <f>ZAŁOŻENIA!P$233</f>
        <v>14564.735414108647</v>
      </c>
      <c r="Q41" s="119">
        <f>ZAŁOŻENIA!Q$233</f>
        <v>14904.067396126607</v>
      </c>
      <c r="R41" s="119">
        <f>ZAŁOŻENIA!R$233</f>
        <v>15252.93844893091</v>
      </c>
      <c r="S41" s="119">
        <f>ZAŁOŻENIA!S$233</f>
        <v>15599.3817225028</v>
      </c>
    </row>
    <row r="42" spans="2:19">
      <c r="B42" s="1" t="s">
        <v>205</v>
      </c>
      <c r="C42" s="54" t="s">
        <v>200</v>
      </c>
      <c r="D42" s="119">
        <f>OBLICZENIA!D$68</f>
        <v>0</v>
      </c>
      <c r="E42" s="119">
        <f>OBLICZENIA!E$68</f>
        <v>0</v>
      </c>
      <c r="F42" s="119">
        <f>OBLICZENIA!F$68</f>
        <v>-0.25798940389161285</v>
      </c>
      <c r="G42" s="119">
        <f>OBLICZENIA!G$68</f>
        <v>-0.25798940389161285</v>
      </c>
      <c r="H42" s="119">
        <f>OBLICZENIA!H$68</f>
        <v>-0.64497350972903233</v>
      </c>
      <c r="I42" s="119">
        <f>OBLICZENIA!I$68</f>
        <v>-0.64497350972903233</v>
      </c>
      <c r="J42" s="119">
        <f>OBLICZENIA!J$68</f>
        <v>-0.64497350972903233</v>
      </c>
      <c r="K42" s="119">
        <f>OBLICZENIA!K$68</f>
        <v>-1.0319576155664514</v>
      </c>
      <c r="L42" s="119">
        <f>OBLICZENIA!L$68</f>
        <v>-1.0319576155664514</v>
      </c>
      <c r="M42" s="119">
        <f>OBLICZENIA!M$68</f>
        <v>-1.0319576155664514</v>
      </c>
      <c r="N42" s="119">
        <f>OBLICZENIA!N$68</f>
        <v>-1.0319576155664514</v>
      </c>
      <c r="O42" s="119">
        <f>OBLICZENIA!O$68</f>
        <v>-1.0319576155664514</v>
      </c>
      <c r="P42" s="119">
        <f>OBLICZENIA!P$68</f>
        <v>-1.0319576155664514</v>
      </c>
      <c r="Q42" s="119">
        <f>OBLICZENIA!Q$68</f>
        <v>-1.0319576155664514</v>
      </c>
      <c r="R42" s="119">
        <f>OBLICZENIA!R$68</f>
        <v>-1.0319576155664514</v>
      </c>
      <c r="S42" s="119">
        <f>OBLICZENIA!S$68</f>
        <v>-1.0319576155664514</v>
      </c>
    </row>
    <row r="43" spans="2:19">
      <c r="B43" s="1" t="s">
        <v>206</v>
      </c>
      <c r="C43" s="54" t="s">
        <v>202</v>
      </c>
      <c r="D43" s="119">
        <f>ZAŁOŻENIA!D$234</f>
        <v>89139.85153895065</v>
      </c>
      <c r="E43" s="119">
        <f>ZAŁOŻENIA!E$234</f>
        <v>92563.318915764481</v>
      </c>
      <c r="F43" s="119">
        <f>ZAŁOŻENIA!F$234</f>
        <v>95462.841238491281</v>
      </c>
      <c r="G43" s="119">
        <f>ZAŁOŻENIA!G$234</f>
        <v>98313.940671043572</v>
      </c>
      <c r="H43" s="119">
        <f>ZAŁOŻENIA!H$234</f>
        <v>101264.83646068259</v>
      </c>
      <c r="I43" s="119">
        <f>ZAŁOŻENIA!I$234</f>
        <v>104319.50692161934</v>
      </c>
      <c r="J43" s="119">
        <f>ZAŁOŻENIA!J$234</f>
        <v>107398.39415181059</v>
      </c>
      <c r="K43" s="119">
        <f>ZAŁOŻENIA!K$234</f>
        <v>110498.08000715448</v>
      </c>
      <c r="L43" s="119">
        <f>ZAŁOŻENIA!L$234</f>
        <v>113526.04310348793</v>
      </c>
      <c r="M43" s="119">
        <f>ZAŁOŻENIA!M$234</f>
        <v>116470.80421716614</v>
      </c>
      <c r="N43" s="119">
        <f>ZAŁOŻENIA!N$234</f>
        <v>119416.93279546888</v>
      </c>
      <c r="O43" s="119">
        <f>ZAŁOŻENIA!O$234</f>
        <v>122359.49053666854</v>
      </c>
      <c r="P43" s="119">
        <f>ZAŁOŻENIA!P$234</f>
        <v>125293.17979896205</v>
      </c>
      <c r="Q43" s="119">
        <f>ZAŁOŻENIA!Q$234</f>
        <v>128212.28418539188</v>
      </c>
      <c r="R43" s="119">
        <f>ZAŁOŻENIA!R$234</f>
        <v>131213.44845668515</v>
      </c>
      <c r="S43" s="119">
        <f>ZAŁOŻENIA!S$234</f>
        <v>134193.72774989743</v>
      </c>
    </row>
    <row r="44" spans="2:19">
      <c r="B44" s="1" t="s">
        <v>207</v>
      </c>
      <c r="C44" s="54" t="s">
        <v>200</v>
      </c>
      <c r="D44" s="119">
        <f>OBLICZENIA!D$80</f>
        <v>0</v>
      </c>
      <c r="E44" s="119">
        <f>OBLICZENIA!E$80</f>
        <v>0</v>
      </c>
      <c r="F44" s="119">
        <f>OBLICZENIA!F$80</f>
        <v>7.4825646967741945E-4</v>
      </c>
      <c r="G44" s="119">
        <f>OBLICZENIA!G$80</f>
        <v>7.4825646967741945E-4</v>
      </c>
      <c r="H44" s="119">
        <f>OBLICZENIA!H$80</f>
        <v>1.8706411741935486E-3</v>
      </c>
      <c r="I44" s="119">
        <f>OBLICZENIA!I$80</f>
        <v>1.8706411741935486E-3</v>
      </c>
      <c r="J44" s="119">
        <f>OBLICZENIA!J$80</f>
        <v>1.8706411741935486E-3</v>
      </c>
      <c r="K44" s="119">
        <f>OBLICZENIA!K$80</f>
        <v>2.9930258787096778E-3</v>
      </c>
      <c r="L44" s="119">
        <f>OBLICZENIA!L$80</f>
        <v>2.9930258787096778E-3</v>
      </c>
      <c r="M44" s="119">
        <f>OBLICZENIA!M$80</f>
        <v>2.9930258787096778E-3</v>
      </c>
      <c r="N44" s="119">
        <f>OBLICZENIA!N$80</f>
        <v>2.9930258787096778E-3</v>
      </c>
      <c r="O44" s="119">
        <f>OBLICZENIA!O$80</f>
        <v>2.9930258787096778E-3</v>
      </c>
      <c r="P44" s="119">
        <f>OBLICZENIA!P$80</f>
        <v>2.9930258787096778E-3</v>
      </c>
      <c r="Q44" s="119">
        <f>OBLICZENIA!Q$80</f>
        <v>2.9930258787096778E-3</v>
      </c>
      <c r="R44" s="119">
        <f>OBLICZENIA!R$80</f>
        <v>2.9930258787096778E-3</v>
      </c>
      <c r="S44" s="119">
        <f>OBLICZENIA!S$80</f>
        <v>2.9930258787096778E-3</v>
      </c>
    </row>
    <row r="45" spans="2:19">
      <c r="B45" s="1" t="s">
        <v>208</v>
      </c>
      <c r="C45" s="54" t="s">
        <v>202</v>
      </c>
      <c r="D45" s="119">
        <f>ZAŁOŻENIA!D$235</f>
        <v>1367541.795812838</v>
      </c>
      <c r="E45" s="119">
        <f>ZAŁOŻENIA!E$235</f>
        <v>1420063.0267052737</v>
      </c>
      <c r="F45" s="119">
        <f>ZAŁOŻENIA!F$235</f>
        <v>1464546.1383075919</v>
      </c>
      <c r="G45" s="119">
        <f>ZAŁOŻENIA!G$235</f>
        <v>1508286.3686391378</v>
      </c>
      <c r="H45" s="119">
        <f>ZAŁOŻENIA!H$235</f>
        <v>1553557.6278767206</v>
      </c>
      <c r="I45" s="119">
        <f>ZAŁOŻENIA!I$235</f>
        <v>1600420.9494511404</v>
      </c>
      <c r="J45" s="119">
        <f>ZAŁOŻENIA!J$235</f>
        <v>1647655.7933418229</v>
      </c>
      <c r="K45" s="119">
        <f>ZAŁOŻENIA!K$235</f>
        <v>1695209.7199850639</v>
      </c>
      <c r="L45" s="119">
        <f>ZAŁOŻENIA!L$235</f>
        <v>1741663.3096974657</v>
      </c>
      <c r="M45" s="119">
        <f>ZAŁOŻENIA!M$235</f>
        <v>1786840.4536136147</v>
      </c>
      <c r="N45" s="119">
        <f>ZAŁOŻENIA!N$235</f>
        <v>1832038.5765306936</v>
      </c>
      <c r="O45" s="119">
        <f>ZAŁOŻENIA!O$235</f>
        <v>1877181.9173396558</v>
      </c>
      <c r="P45" s="119">
        <f>ZAŁOŻENIA!P$235</f>
        <v>1922189.2021045473</v>
      </c>
      <c r="Q45" s="119">
        <f>ZAŁOŻENIA!Q$235</f>
        <v>1966972.7325442298</v>
      </c>
      <c r="R45" s="119">
        <f>ZAŁOŻENIA!R$235</f>
        <v>2013015.1872514868</v>
      </c>
      <c r="S45" s="119">
        <f>ZAŁOŻENIA!S$235</f>
        <v>2058737.2344200581</v>
      </c>
    </row>
    <row r="46" spans="2:19">
      <c r="B46" s="112" t="s">
        <v>209</v>
      </c>
      <c r="C46" s="118" t="s">
        <v>55</v>
      </c>
      <c r="D46" s="120">
        <f>(D38*D39+D40*D41+D42*D43+D44*D45)/1000</f>
        <v>0</v>
      </c>
      <c r="E46" s="120">
        <f t="shared" ref="E46:S46" si="13">(E38*E39+E40*E41+E42*E43+E44*E45)/1000</f>
        <v>0</v>
      </c>
      <c r="F46" s="120">
        <f t="shared" si="13"/>
        <v>-18.877634281798247</v>
      </c>
      <c r="G46" s="120">
        <f t="shared" si="13"/>
        <v>-19.441434936487575</v>
      </c>
      <c r="H46" s="120">
        <f t="shared" si="13"/>
        <v>-50.062425429364048</v>
      </c>
      <c r="I46" s="120">
        <f t="shared" si="13"/>
        <v>-51.572566733165011</v>
      </c>
      <c r="J46" s="120">
        <f t="shared" si="13"/>
        <v>-53.094680111847218</v>
      </c>
      <c r="K46" s="120">
        <f t="shared" si="13"/>
        <v>-87.403321173092365</v>
      </c>
      <c r="L46" s="120">
        <f t="shared" si="13"/>
        <v>-89.798421893321787</v>
      </c>
      <c r="M46" s="120">
        <f t="shared" si="13"/>
        <v>-92.127710342317329</v>
      </c>
      <c r="N46" s="120">
        <f t="shared" si="13"/>
        <v>-94.458080447661672</v>
      </c>
      <c r="O46" s="120">
        <f t="shared" si="13"/>
        <v>-96.785626042189577</v>
      </c>
      <c r="P46" s="120">
        <f t="shared" si="13"/>
        <v>-99.106156722882744</v>
      </c>
      <c r="Q46" s="120">
        <f t="shared" si="13"/>
        <v>-101.4151508538974</v>
      </c>
      <c r="R46" s="120">
        <f t="shared" si="13"/>
        <v>-103.78905386361551</v>
      </c>
      <c r="S46" s="120">
        <f t="shared" si="13"/>
        <v>-106.14643698043784</v>
      </c>
    </row>
    <row r="48" spans="2:19">
      <c r="B48" s="97" t="s">
        <v>162</v>
      </c>
    </row>
    <row r="49" spans="2:19" ht="13.5" thickBot="1">
      <c r="B49" s="84" t="s">
        <v>1</v>
      </c>
      <c r="C49" s="84" t="s">
        <v>25</v>
      </c>
      <c r="D49" s="84">
        <v>2021</v>
      </c>
      <c r="E49" s="84">
        <f>D49+1</f>
        <v>2022</v>
      </c>
      <c r="F49" s="84">
        <f t="shared" ref="F49:S49" si="14">E49+1</f>
        <v>2023</v>
      </c>
      <c r="G49" s="84">
        <f t="shared" si="14"/>
        <v>2024</v>
      </c>
      <c r="H49" s="84">
        <f t="shared" si="14"/>
        <v>2025</v>
      </c>
      <c r="I49" s="84">
        <f t="shared" si="14"/>
        <v>2026</v>
      </c>
      <c r="J49" s="84">
        <f t="shared" si="14"/>
        <v>2027</v>
      </c>
      <c r="K49" s="84">
        <f t="shared" si="14"/>
        <v>2028</v>
      </c>
      <c r="L49" s="84">
        <f t="shared" si="14"/>
        <v>2029</v>
      </c>
      <c r="M49" s="84">
        <f t="shared" si="14"/>
        <v>2030</v>
      </c>
      <c r="N49" s="84">
        <f t="shared" si="14"/>
        <v>2031</v>
      </c>
      <c r="O49" s="84">
        <f t="shared" si="14"/>
        <v>2032</v>
      </c>
      <c r="P49" s="84">
        <f t="shared" si="14"/>
        <v>2033</v>
      </c>
      <c r="Q49" s="84">
        <f t="shared" si="14"/>
        <v>2034</v>
      </c>
      <c r="R49" s="84">
        <f t="shared" si="14"/>
        <v>2035</v>
      </c>
      <c r="S49" s="84">
        <f t="shared" si="14"/>
        <v>2036</v>
      </c>
    </row>
    <row r="50" spans="2:19" ht="13.5" thickTop="1">
      <c r="B50" s="1" t="s">
        <v>199</v>
      </c>
      <c r="C50" s="54" t="s">
        <v>200</v>
      </c>
      <c r="D50" s="119">
        <f>OBLICZENIA!D45</f>
        <v>0</v>
      </c>
      <c r="E50" s="119">
        <f>OBLICZENIA!E45</f>
        <v>0</v>
      </c>
      <c r="F50" s="119">
        <f>OBLICZENIA!F45</f>
        <v>0</v>
      </c>
      <c r="G50" s="119">
        <f>OBLICZENIA!G45</f>
        <v>0</v>
      </c>
      <c r="H50" s="119">
        <f>OBLICZENIA!H45</f>
        <v>0</v>
      </c>
      <c r="I50" s="119">
        <f>OBLICZENIA!I45</f>
        <v>0</v>
      </c>
      <c r="J50" s="119">
        <f>OBLICZENIA!J45</f>
        <v>0</v>
      </c>
      <c r="K50" s="119">
        <f>OBLICZENIA!K45</f>
        <v>0</v>
      </c>
      <c r="L50" s="119">
        <f>OBLICZENIA!L45</f>
        <v>0</v>
      </c>
      <c r="M50" s="119">
        <f>OBLICZENIA!M45</f>
        <v>0</v>
      </c>
      <c r="N50" s="119">
        <f>OBLICZENIA!N45</f>
        <v>0</v>
      </c>
      <c r="O50" s="119">
        <f>OBLICZENIA!O45</f>
        <v>0</v>
      </c>
      <c r="P50" s="119">
        <f>OBLICZENIA!P45</f>
        <v>0</v>
      </c>
      <c r="Q50" s="119">
        <f>OBLICZENIA!Q45</f>
        <v>0</v>
      </c>
      <c r="R50" s="119">
        <f>OBLICZENIA!R45</f>
        <v>0</v>
      </c>
      <c r="S50" s="119">
        <f>OBLICZENIA!S45</f>
        <v>0</v>
      </c>
    </row>
    <row r="51" spans="2:19">
      <c r="B51" s="1" t="s">
        <v>201</v>
      </c>
      <c r="C51" s="54" t="s">
        <v>202</v>
      </c>
      <c r="D51" s="119">
        <f>ZAŁOŻENIA!D$232</f>
        <v>82958.418120835689</v>
      </c>
      <c r="E51" s="119">
        <f>ZAŁOŻENIA!E$232</f>
        <v>86144.483984369945</v>
      </c>
      <c r="F51" s="119">
        <f>ZAŁOŻENIA!F$232</f>
        <v>88842.937942354823</v>
      </c>
      <c r="G51" s="119">
        <f>ZAŁOŻENIA!G$232</f>
        <v>91496.326912005505</v>
      </c>
      <c r="H51" s="119">
        <f>ZAŁOŻENIA!H$232</f>
        <v>94242.591826311735</v>
      </c>
      <c r="I51" s="119">
        <f>ZAŁOŻENIA!I$232</f>
        <v>97085.43512192824</v>
      </c>
      <c r="J51" s="119">
        <f>ZAŁOŻENIA!J$232</f>
        <v>99950.815866672914</v>
      </c>
      <c r="K51" s="119">
        <f>ZAŁOŻENIA!K$232</f>
        <v>102835.55294881284</v>
      </c>
      <c r="L51" s="119">
        <f>ZAŁOŻENIA!L$232</f>
        <v>105653.5409111366</v>
      </c>
      <c r="M51" s="119">
        <f>ZAŁOŻENIA!M$232</f>
        <v>108394.09656067959</v>
      </c>
      <c r="N51" s="119">
        <f>ZAŁOŻENIA!N$232</f>
        <v>111135.92484754616</v>
      </c>
      <c r="O51" s="119">
        <f>ZAŁOŻENIA!O$232</f>
        <v>113874.42991822689</v>
      </c>
      <c r="P51" s="119">
        <f>ZAŁOŻENIA!P$232</f>
        <v>116604.68149769701</v>
      </c>
      <c r="Q51" s="119">
        <f>ZAŁOŻENIA!Q$232</f>
        <v>119321.35959449633</v>
      </c>
      <c r="R51" s="119">
        <f>ZAŁOŻENIA!R$232</f>
        <v>122114.40710544567</v>
      </c>
      <c r="S51" s="119">
        <f>ZAŁOŻENIA!S$232</f>
        <v>124888.0179142447</v>
      </c>
    </row>
    <row r="52" spans="2:19">
      <c r="B52" s="1" t="s">
        <v>203</v>
      </c>
      <c r="C52" s="54" t="s">
        <v>200</v>
      </c>
      <c r="D52" s="119">
        <f>OBLICZENIA!D57</f>
        <v>0</v>
      </c>
      <c r="E52" s="119">
        <f>OBLICZENIA!E57</f>
        <v>0</v>
      </c>
      <c r="F52" s="119">
        <f>OBLICZENIA!F57</f>
        <v>0</v>
      </c>
      <c r="G52" s="119">
        <f>OBLICZENIA!G57</f>
        <v>0</v>
      </c>
      <c r="H52" s="119">
        <f>OBLICZENIA!H57</f>
        <v>0</v>
      </c>
      <c r="I52" s="119">
        <f>OBLICZENIA!I57</f>
        <v>0</v>
      </c>
      <c r="J52" s="119">
        <f>OBLICZENIA!J57</f>
        <v>0</v>
      </c>
      <c r="K52" s="119">
        <f>OBLICZENIA!K57</f>
        <v>0</v>
      </c>
      <c r="L52" s="119">
        <f>OBLICZENIA!L57</f>
        <v>0</v>
      </c>
      <c r="M52" s="119">
        <f>OBLICZENIA!M57</f>
        <v>0</v>
      </c>
      <c r="N52" s="119">
        <f>OBLICZENIA!N57</f>
        <v>0</v>
      </c>
      <c r="O52" s="119">
        <f>OBLICZENIA!O57</f>
        <v>0</v>
      </c>
      <c r="P52" s="119">
        <f>OBLICZENIA!P57</f>
        <v>0</v>
      </c>
      <c r="Q52" s="119">
        <f>OBLICZENIA!Q57</f>
        <v>0</v>
      </c>
      <c r="R52" s="119">
        <f>OBLICZENIA!R57</f>
        <v>0</v>
      </c>
      <c r="S52" s="119">
        <f>OBLICZENIA!S57</f>
        <v>0</v>
      </c>
    </row>
    <row r="53" spans="2:19">
      <c r="B53" s="1" t="s">
        <v>204</v>
      </c>
      <c r="C53" s="54" t="s">
        <v>202</v>
      </c>
      <c r="D53" s="119">
        <f>ZAŁOŻENIA!D$233</f>
        <v>10362.083192404516</v>
      </c>
      <c r="E53" s="119">
        <f>ZAŁOŻENIA!E$233</f>
        <v>10760.044969910135</v>
      </c>
      <c r="F53" s="119">
        <f>ZAŁOŻENIA!F$233</f>
        <v>11097.10063028669</v>
      </c>
      <c r="G53" s="119">
        <f>ZAŁOŻENIA!G$233</f>
        <v>11428.527360305585</v>
      </c>
      <c r="H53" s="119">
        <f>ZAŁOŻENIA!H$233</f>
        <v>11771.554941532759</v>
      </c>
      <c r="I53" s="119">
        <f>ZAŁOŻENIA!I$233</f>
        <v>12126.645834047609</v>
      </c>
      <c r="J53" s="119">
        <f>ZAŁOŻENIA!J$233</f>
        <v>12484.551810650375</v>
      </c>
      <c r="K53" s="119">
        <f>ZAŁOŻENIA!K$233</f>
        <v>12844.87552836891</v>
      </c>
      <c r="L53" s="119">
        <f>ZAŁOŻENIA!L$233</f>
        <v>13196.86181694858</v>
      </c>
      <c r="M53" s="119">
        <f>ZAŁOŻENIA!M$233</f>
        <v>13539.176271313112</v>
      </c>
      <c r="N53" s="119">
        <f>ZAŁOŻENIA!N$233</f>
        <v>13881.649686927383</v>
      </c>
      <c r="O53" s="119">
        <f>ZAŁOŻENIA!O$233</f>
        <v>14223.708009735352</v>
      </c>
      <c r="P53" s="119">
        <f>ZAŁOŻENIA!P$233</f>
        <v>14564.735414108647</v>
      </c>
      <c r="Q53" s="119">
        <f>ZAŁOŻENIA!Q$233</f>
        <v>14904.067396126607</v>
      </c>
      <c r="R53" s="119">
        <f>ZAŁOŻENIA!R$233</f>
        <v>15252.93844893091</v>
      </c>
      <c r="S53" s="119">
        <f>ZAŁOŻENIA!S$233</f>
        <v>15599.3817225028</v>
      </c>
    </row>
    <row r="54" spans="2:19">
      <c r="B54" s="1" t="s">
        <v>205</v>
      </c>
      <c r="C54" s="54" t="s">
        <v>200</v>
      </c>
      <c r="D54" s="119">
        <f>OBLICZENIA!D69</f>
        <v>0</v>
      </c>
      <c r="E54" s="119">
        <f>OBLICZENIA!E69</f>
        <v>0</v>
      </c>
      <c r="F54" s="119">
        <f>OBLICZENIA!F69</f>
        <v>0</v>
      </c>
      <c r="G54" s="119">
        <f>OBLICZENIA!G69</f>
        <v>0</v>
      </c>
      <c r="H54" s="119">
        <f>OBLICZENIA!H69</f>
        <v>0</v>
      </c>
      <c r="I54" s="119">
        <f>OBLICZENIA!I69</f>
        <v>0</v>
      </c>
      <c r="J54" s="119">
        <f>OBLICZENIA!J69</f>
        <v>0</v>
      </c>
      <c r="K54" s="119">
        <f>OBLICZENIA!K69</f>
        <v>0</v>
      </c>
      <c r="L54" s="119">
        <f>OBLICZENIA!L69</f>
        <v>0</v>
      </c>
      <c r="M54" s="119">
        <f>OBLICZENIA!M69</f>
        <v>0</v>
      </c>
      <c r="N54" s="119">
        <f>OBLICZENIA!N69</f>
        <v>0</v>
      </c>
      <c r="O54" s="119">
        <f>OBLICZENIA!O69</f>
        <v>0</v>
      </c>
      <c r="P54" s="119">
        <f>OBLICZENIA!P69</f>
        <v>0</v>
      </c>
      <c r="Q54" s="119">
        <f>OBLICZENIA!Q69</f>
        <v>0</v>
      </c>
      <c r="R54" s="119">
        <f>OBLICZENIA!R69</f>
        <v>0</v>
      </c>
      <c r="S54" s="119">
        <f>OBLICZENIA!S69</f>
        <v>0</v>
      </c>
    </row>
    <row r="55" spans="2:19">
      <c r="B55" s="1" t="s">
        <v>206</v>
      </c>
      <c r="C55" s="54" t="s">
        <v>202</v>
      </c>
      <c r="D55" s="119">
        <f>ZAŁOŻENIA!D$234</f>
        <v>89139.85153895065</v>
      </c>
      <c r="E55" s="119">
        <f>ZAŁOŻENIA!E$234</f>
        <v>92563.318915764481</v>
      </c>
      <c r="F55" s="119">
        <f>ZAŁOŻENIA!F$234</f>
        <v>95462.841238491281</v>
      </c>
      <c r="G55" s="119">
        <f>ZAŁOŻENIA!G$234</f>
        <v>98313.940671043572</v>
      </c>
      <c r="H55" s="119">
        <f>ZAŁOŻENIA!H$234</f>
        <v>101264.83646068259</v>
      </c>
      <c r="I55" s="119">
        <f>ZAŁOŻENIA!I$234</f>
        <v>104319.50692161934</v>
      </c>
      <c r="J55" s="119">
        <f>ZAŁOŻENIA!J$234</f>
        <v>107398.39415181059</v>
      </c>
      <c r="K55" s="119">
        <f>ZAŁOŻENIA!K$234</f>
        <v>110498.08000715448</v>
      </c>
      <c r="L55" s="119">
        <f>ZAŁOŻENIA!L$234</f>
        <v>113526.04310348793</v>
      </c>
      <c r="M55" s="119">
        <f>ZAŁOŻENIA!M$234</f>
        <v>116470.80421716614</v>
      </c>
      <c r="N55" s="119">
        <f>ZAŁOŻENIA!N$234</f>
        <v>119416.93279546888</v>
      </c>
      <c r="O55" s="119">
        <f>ZAŁOŻENIA!O$234</f>
        <v>122359.49053666854</v>
      </c>
      <c r="P55" s="119">
        <f>ZAŁOŻENIA!P$234</f>
        <v>125293.17979896205</v>
      </c>
      <c r="Q55" s="119">
        <f>ZAŁOŻENIA!Q$234</f>
        <v>128212.28418539188</v>
      </c>
      <c r="R55" s="119">
        <f>ZAŁOŻENIA!R$234</f>
        <v>131213.44845668515</v>
      </c>
      <c r="S55" s="119">
        <f>ZAŁOŻENIA!S$234</f>
        <v>134193.72774989743</v>
      </c>
    </row>
    <row r="56" spans="2:19">
      <c r="B56" s="1" t="s">
        <v>207</v>
      </c>
      <c r="C56" s="54" t="s">
        <v>200</v>
      </c>
      <c r="D56" s="119">
        <f>OBLICZENIA!D81</f>
        <v>0</v>
      </c>
      <c r="E56" s="119">
        <f>OBLICZENIA!E81</f>
        <v>0</v>
      </c>
      <c r="F56" s="119">
        <f>OBLICZENIA!F81</f>
        <v>0</v>
      </c>
      <c r="G56" s="119">
        <f>OBLICZENIA!G81</f>
        <v>0</v>
      </c>
      <c r="H56" s="119">
        <f>OBLICZENIA!H81</f>
        <v>0</v>
      </c>
      <c r="I56" s="119">
        <f>OBLICZENIA!I81</f>
        <v>0</v>
      </c>
      <c r="J56" s="119">
        <f>OBLICZENIA!J81</f>
        <v>0</v>
      </c>
      <c r="K56" s="119">
        <f>OBLICZENIA!K81</f>
        <v>0</v>
      </c>
      <c r="L56" s="119">
        <f>OBLICZENIA!L81</f>
        <v>0</v>
      </c>
      <c r="M56" s="119">
        <f>OBLICZENIA!M81</f>
        <v>0</v>
      </c>
      <c r="N56" s="119">
        <f>OBLICZENIA!N81</f>
        <v>0</v>
      </c>
      <c r="O56" s="119">
        <f>OBLICZENIA!O81</f>
        <v>0</v>
      </c>
      <c r="P56" s="119">
        <f>OBLICZENIA!P81</f>
        <v>0</v>
      </c>
      <c r="Q56" s="119">
        <f>OBLICZENIA!Q81</f>
        <v>0</v>
      </c>
      <c r="R56" s="119">
        <f>OBLICZENIA!R81</f>
        <v>0</v>
      </c>
      <c r="S56" s="119">
        <f>OBLICZENIA!S81</f>
        <v>0</v>
      </c>
    </row>
    <row r="57" spans="2:19">
      <c r="B57" s="1" t="s">
        <v>208</v>
      </c>
      <c r="C57" s="54" t="s">
        <v>202</v>
      </c>
      <c r="D57" s="119">
        <f>ZAŁOŻENIA!D$235</f>
        <v>1367541.795812838</v>
      </c>
      <c r="E57" s="119">
        <f>ZAŁOŻENIA!E$235</f>
        <v>1420063.0267052737</v>
      </c>
      <c r="F57" s="119">
        <f>ZAŁOŻENIA!F$235</f>
        <v>1464546.1383075919</v>
      </c>
      <c r="G57" s="119">
        <f>ZAŁOŻENIA!G$235</f>
        <v>1508286.3686391378</v>
      </c>
      <c r="H57" s="119">
        <f>ZAŁOŻENIA!H$235</f>
        <v>1553557.6278767206</v>
      </c>
      <c r="I57" s="119">
        <f>ZAŁOŻENIA!I$235</f>
        <v>1600420.9494511404</v>
      </c>
      <c r="J57" s="119">
        <f>ZAŁOŻENIA!J$235</f>
        <v>1647655.7933418229</v>
      </c>
      <c r="K57" s="119">
        <f>ZAŁOŻENIA!K$235</f>
        <v>1695209.7199850639</v>
      </c>
      <c r="L57" s="119">
        <f>ZAŁOŻENIA!L$235</f>
        <v>1741663.3096974657</v>
      </c>
      <c r="M57" s="119">
        <f>ZAŁOŻENIA!M$235</f>
        <v>1786840.4536136147</v>
      </c>
      <c r="N57" s="119">
        <f>ZAŁOŻENIA!N$235</f>
        <v>1832038.5765306936</v>
      </c>
      <c r="O57" s="119">
        <f>ZAŁOŻENIA!O$235</f>
        <v>1877181.9173396558</v>
      </c>
      <c r="P57" s="119">
        <f>ZAŁOŻENIA!P$235</f>
        <v>1922189.2021045473</v>
      </c>
      <c r="Q57" s="119">
        <f>ZAŁOŻENIA!Q$235</f>
        <v>1966972.7325442298</v>
      </c>
      <c r="R57" s="119">
        <f>ZAŁOŻENIA!R$235</f>
        <v>2013015.1872514868</v>
      </c>
      <c r="S57" s="119">
        <f>ZAŁOŻENIA!S$235</f>
        <v>2058737.2344200581</v>
      </c>
    </row>
    <row r="58" spans="2:19">
      <c r="B58" s="112" t="s">
        <v>218</v>
      </c>
      <c r="C58" s="118" t="s">
        <v>55</v>
      </c>
      <c r="D58" s="120">
        <f>(D50*D51+D52*D53+D54*D55+D56*D57)/1000</f>
        <v>0</v>
      </c>
      <c r="E58" s="120">
        <f t="shared" ref="E58" si="15">(E50*E51+E52*E53+E54*E55+E56*E57)/1000</f>
        <v>0</v>
      </c>
      <c r="F58" s="120">
        <f t="shared" ref="F58" si="16">(F50*F51+F52*F53+F54*F55+F56*F57)/1000</f>
        <v>0</v>
      </c>
      <c r="G58" s="120">
        <f t="shared" ref="G58" si="17">(G50*G51+G52*G53+G54*G55+G56*G57)/1000</f>
        <v>0</v>
      </c>
      <c r="H58" s="120">
        <f t="shared" ref="H58" si="18">(H50*H51+H52*H53+H54*H55+H56*H57)/1000</f>
        <v>0</v>
      </c>
      <c r="I58" s="120">
        <f t="shared" ref="I58" si="19">(I50*I51+I52*I53+I54*I55+I56*I57)/1000</f>
        <v>0</v>
      </c>
      <c r="J58" s="120">
        <f t="shared" ref="J58" si="20">(J50*J51+J52*J53+J54*J55+J56*J57)/1000</f>
        <v>0</v>
      </c>
      <c r="K58" s="120">
        <f t="shared" ref="K58" si="21">(K50*K51+K52*K53+K54*K55+K56*K57)/1000</f>
        <v>0</v>
      </c>
      <c r="L58" s="120">
        <f t="shared" ref="L58" si="22">(L50*L51+L52*L53+L54*L55+L56*L57)/1000</f>
        <v>0</v>
      </c>
      <c r="M58" s="120">
        <f t="shared" ref="M58" si="23">(M50*M51+M52*M53+M54*M55+M56*M57)/1000</f>
        <v>0</v>
      </c>
      <c r="N58" s="120">
        <f t="shared" ref="N58" si="24">(N50*N51+N52*N53+N54*N55+N56*N57)/1000</f>
        <v>0</v>
      </c>
      <c r="O58" s="120">
        <f t="shared" ref="O58" si="25">(O50*O51+O52*O53+O54*O55+O56*O57)/1000</f>
        <v>0</v>
      </c>
      <c r="P58" s="120">
        <f t="shared" ref="P58" si="26">(P50*P51+P52*P53+P54*P55+P56*P57)/1000</f>
        <v>0</v>
      </c>
      <c r="Q58" s="120">
        <f t="shared" ref="Q58" si="27">(Q50*Q51+Q52*Q53+Q54*Q55+Q56*Q57)/1000</f>
        <v>0</v>
      </c>
      <c r="R58" s="120">
        <f t="shared" ref="R58" si="28">(R50*R51+R52*R53+R54*R55+R56*R57)/1000</f>
        <v>0</v>
      </c>
      <c r="S58" s="120">
        <f t="shared" ref="S58" si="29">(S50*S51+S52*S53+S54*S55+S56*S57)/1000</f>
        <v>0</v>
      </c>
    </row>
    <row r="60" spans="2:19" s="98" customFormat="1">
      <c r="B60" s="98" t="s">
        <v>210</v>
      </c>
    </row>
    <row r="62" spans="2:19">
      <c r="B62" s="97" t="s">
        <v>161</v>
      </c>
    </row>
    <row r="63" spans="2:19" ht="13.5" thickBot="1">
      <c r="B63" s="84" t="s">
        <v>1</v>
      </c>
      <c r="C63" s="84" t="s">
        <v>25</v>
      </c>
      <c r="D63" s="84">
        <v>2021</v>
      </c>
      <c r="E63" s="84">
        <f>D63+1</f>
        <v>2022</v>
      </c>
      <c r="F63" s="84">
        <f t="shared" ref="F63:S63" si="30">E63+1</f>
        <v>2023</v>
      </c>
      <c r="G63" s="84">
        <f t="shared" si="30"/>
        <v>2024</v>
      </c>
      <c r="H63" s="84">
        <f t="shared" si="30"/>
        <v>2025</v>
      </c>
      <c r="I63" s="84">
        <f t="shared" si="30"/>
        <v>2026</v>
      </c>
      <c r="J63" s="84">
        <f t="shared" si="30"/>
        <v>2027</v>
      </c>
      <c r="K63" s="84">
        <f t="shared" si="30"/>
        <v>2028</v>
      </c>
      <c r="L63" s="84">
        <f t="shared" si="30"/>
        <v>2029</v>
      </c>
      <c r="M63" s="84">
        <f t="shared" si="30"/>
        <v>2030</v>
      </c>
      <c r="N63" s="84">
        <f t="shared" si="30"/>
        <v>2031</v>
      </c>
      <c r="O63" s="84">
        <f t="shared" si="30"/>
        <v>2032</v>
      </c>
      <c r="P63" s="84">
        <f t="shared" si="30"/>
        <v>2033</v>
      </c>
      <c r="Q63" s="84">
        <f t="shared" si="30"/>
        <v>2034</v>
      </c>
      <c r="R63" s="84">
        <f t="shared" si="30"/>
        <v>2035</v>
      </c>
      <c r="S63" s="84">
        <f t="shared" si="30"/>
        <v>2036</v>
      </c>
    </row>
    <row r="64" spans="2:19" ht="13.5" thickTop="1">
      <c r="B64" s="1" t="s">
        <v>146</v>
      </c>
      <c r="C64" s="1" t="s">
        <v>147</v>
      </c>
      <c r="D64" s="108">
        <f>ZAŁOŻENIA!D$221</f>
        <v>193.99603259837247</v>
      </c>
      <c r="E64" s="108">
        <f>ZAŁOŻENIA!E$221</f>
        <v>199.38481128166063</v>
      </c>
      <c r="F64" s="108">
        <f>ZAŁOŻENIA!F$221</f>
        <v>204.77358996494871</v>
      </c>
      <c r="G64" s="108">
        <f>ZAŁOŻENIA!G$221</f>
        <v>210.16236864823688</v>
      </c>
      <c r="H64" s="108">
        <f>ZAŁOŻENIA!H$221</f>
        <v>215.55114733152499</v>
      </c>
      <c r="I64" s="108">
        <f>ZAŁOŻENIA!I$221</f>
        <v>220.93992601481312</v>
      </c>
      <c r="J64" s="108">
        <f>ZAŁOŻENIA!J$221</f>
        <v>226.32870469810123</v>
      </c>
      <c r="K64" s="108">
        <f>ZAŁOŻENIA!K$221</f>
        <v>231.71748338138934</v>
      </c>
      <c r="L64" s="108">
        <f>ZAŁOŻENIA!L$221</f>
        <v>237.10626206467751</v>
      </c>
      <c r="M64" s="108">
        <f>ZAŁOŻENIA!M$221</f>
        <v>242.49504074796559</v>
      </c>
      <c r="N64" s="108">
        <f>ZAŁOŻENIA!N$221</f>
        <v>247.88381943125376</v>
      </c>
      <c r="O64" s="108">
        <f>ZAŁOŻENIA!O$221</f>
        <v>253.27259811454186</v>
      </c>
      <c r="P64" s="108">
        <f>ZAŁOŻENIA!P$221</f>
        <v>258.66137679782997</v>
      </c>
      <c r="Q64" s="108">
        <f>ZAŁOŻENIA!Q$221</f>
        <v>264.05015548111811</v>
      </c>
      <c r="R64" s="108">
        <f>ZAŁOŻENIA!R$221</f>
        <v>269.43893416440625</v>
      </c>
      <c r="S64" s="108">
        <f>ZAŁOŻENIA!S$221</f>
        <v>274.82771284769433</v>
      </c>
    </row>
    <row r="65" spans="2:19">
      <c r="B65" s="1" t="s">
        <v>211</v>
      </c>
      <c r="C65" s="1" t="s">
        <v>212</v>
      </c>
      <c r="D65" s="1">
        <f>OBLICZENIA!D29</f>
        <v>0</v>
      </c>
      <c r="E65" s="1">
        <f>OBLICZENIA!E29</f>
        <v>0</v>
      </c>
      <c r="F65" s="1">
        <f>OBLICZENIA!F29</f>
        <v>-51.433630954838705</v>
      </c>
      <c r="G65" s="1">
        <f>OBLICZENIA!G29</f>
        <v>-51.433630954838705</v>
      </c>
      <c r="H65" s="1">
        <f>OBLICZENIA!H29</f>
        <v>-128.58407738709681</v>
      </c>
      <c r="I65" s="1">
        <f>OBLICZENIA!I29</f>
        <v>-128.58407738709681</v>
      </c>
      <c r="J65" s="1">
        <f>OBLICZENIA!J29</f>
        <v>-128.58407738709681</v>
      </c>
      <c r="K65" s="1">
        <f>OBLICZENIA!K29</f>
        <v>-205.73452381935482</v>
      </c>
      <c r="L65" s="1">
        <f>OBLICZENIA!L29</f>
        <v>-205.73452381935482</v>
      </c>
      <c r="M65" s="1">
        <f>OBLICZENIA!M29</f>
        <v>-205.73452381935482</v>
      </c>
      <c r="N65" s="1">
        <f>OBLICZENIA!N29</f>
        <v>-205.73452381935482</v>
      </c>
      <c r="O65" s="1">
        <f>OBLICZENIA!O29</f>
        <v>-205.73452381935482</v>
      </c>
      <c r="P65" s="1">
        <f>OBLICZENIA!P29</f>
        <v>-205.73452381935482</v>
      </c>
      <c r="Q65" s="1">
        <f>OBLICZENIA!Q29</f>
        <v>-205.73452381935482</v>
      </c>
      <c r="R65" s="1">
        <f>OBLICZENIA!R29</f>
        <v>-205.73452381935482</v>
      </c>
      <c r="S65" s="1">
        <f>OBLICZENIA!S29</f>
        <v>-205.73452381935482</v>
      </c>
    </row>
    <row r="66" spans="2:19">
      <c r="B66" s="112" t="s">
        <v>213</v>
      </c>
      <c r="C66" s="112" t="s">
        <v>55</v>
      </c>
      <c r="D66" s="121">
        <f>PRODUCT(D64,D65)/1000</f>
        <v>0</v>
      </c>
      <c r="E66" s="121">
        <f t="shared" ref="E66:S66" si="31">PRODUCT(E64,E65)/1000</f>
        <v>0</v>
      </c>
      <c r="F66" s="121">
        <f t="shared" si="31"/>
        <v>-10.532249255554634</v>
      </c>
      <c r="G66" s="121">
        <f t="shared" si="31"/>
        <v>-10.809413709648179</v>
      </c>
      <c r="H66" s="121">
        <f t="shared" si="31"/>
        <v>-27.716445409354318</v>
      </c>
      <c r="I66" s="121">
        <f t="shared" si="31"/>
        <v>-28.409356544588174</v>
      </c>
      <c r="J66" s="121">
        <f t="shared" si="31"/>
        <v>-29.102267679822031</v>
      </c>
      <c r="K66" s="121">
        <f t="shared" si="31"/>
        <v>-47.672286104089402</v>
      </c>
      <c r="L66" s="121">
        <f t="shared" si="31"/>
        <v>-48.780943920463578</v>
      </c>
      <c r="M66" s="121">
        <f t="shared" si="31"/>
        <v>-49.88960173683774</v>
      </c>
      <c r="N66" s="121">
        <f t="shared" si="31"/>
        <v>-50.998259553211923</v>
      </c>
      <c r="O66" s="121">
        <f t="shared" si="31"/>
        <v>-52.106917369586093</v>
      </c>
      <c r="P66" s="121">
        <f t="shared" si="31"/>
        <v>-53.215575185960262</v>
      </c>
      <c r="Q66" s="121">
        <f t="shared" si="31"/>
        <v>-54.324233002334438</v>
      </c>
      <c r="R66" s="121">
        <f t="shared" si="31"/>
        <v>-55.432890818708614</v>
      </c>
      <c r="S66" s="121">
        <f t="shared" si="31"/>
        <v>-56.541548635082776</v>
      </c>
    </row>
    <row r="68" spans="2:19">
      <c r="B68" s="97" t="s">
        <v>162</v>
      </c>
    </row>
    <row r="69" spans="2:19" ht="13.5" thickBot="1">
      <c r="B69" s="84" t="s">
        <v>1</v>
      </c>
      <c r="C69" s="84" t="s">
        <v>25</v>
      </c>
      <c r="D69" s="84">
        <v>2021</v>
      </c>
      <c r="E69" s="84">
        <f>D69+1</f>
        <v>2022</v>
      </c>
      <c r="F69" s="84">
        <f t="shared" ref="F69:S69" si="32">E69+1</f>
        <v>2023</v>
      </c>
      <c r="G69" s="84">
        <f t="shared" si="32"/>
        <v>2024</v>
      </c>
      <c r="H69" s="84">
        <f t="shared" si="32"/>
        <v>2025</v>
      </c>
      <c r="I69" s="84">
        <f t="shared" si="32"/>
        <v>2026</v>
      </c>
      <c r="J69" s="84">
        <f t="shared" si="32"/>
        <v>2027</v>
      </c>
      <c r="K69" s="84">
        <f t="shared" si="32"/>
        <v>2028</v>
      </c>
      <c r="L69" s="84">
        <f t="shared" si="32"/>
        <v>2029</v>
      </c>
      <c r="M69" s="84">
        <f t="shared" si="32"/>
        <v>2030</v>
      </c>
      <c r="N69" s="84">
        <f t="shared" si="32"/>
        <v>2031</v>
      </c>
      <c r="O69" s="84">
        <f t="shared" si="32"/>
        <v>2032</v>
      </c>
      <c r="P69" s="84">
        <f t="shared" si="32"/>
        <v>2033</v>
      </c>
      <c r="Q69" s="84">
        <f t="shared" si="32"/>
        <v>2034</v>
      </c>
      <c r="R69" s="84">
        <f t="shared" si="32"/>
        <v>2035</v>
      </c>
      <c r="S69" s="84">
        <f t="shared" si="32"/>
        <v>2036</v>
      </c>
    </row>
    <row r="70" spans="2:19" ht="13.5" thickTop="1">
      <c r="B70" s="1" t="s">
        <v>146</v>
      </c>
      <c r="C70" s="1" t="s">
        <v>147</v>
      </c>
      <c r="D70" s="108">
        <f>ZAŁOŻENIA!D$221</f>
        <v>193.99603259837247</v>
      </c>
      <c r="E70" s="108">
        <f>ZAŁOŻENIA!E$221</f>
        <v>199.38481128166063</v>
      </c>
      <c r="F70" s="108">
        <f>ZAŁOŻENIA!F$221</f>
        <v>204.77358996494871</v>
      </c>
      <c r="G70" s="108">
        <f>ZAŁOŻENIA!G$221</f>
        <v>210.16236864823688</v>
      </c>
      <c r="H70" s="108">
        <f>ZAŁOŻENIA!H$221</f>
        <v>215.55114733152499</v>
      </c>
      <c r="I70" s="108">
        <f>ZAŁOŻENIA!I$221</f>
        <v>220.93992601481312</v>
      </c>
      <c r="J70" s="108">
        <f>ZAŁOŻENIA!J$221</f>
        <v>226.32870469810123</v>
      </c>
      <c r="K70" s="108">
        <f>ZAŁOŻENIA!K$221</f>
        <v>231.71748338138934</v>
      </c>
      <c r="L70" s="108">
        <f>ZAŁOŻENIA!L$221</f>
        <v>237.10626206467751</v>
      </c>
      <c r="M70" s="108">
        <f>ZAŁOŻENIA!M$221</f>
        <v>242.49504074796559</v>
      </c>
      <c r="N70" s="108">
        <f>ZAŁOŻENIA!N$221</f>
        <v>247.88381943125376</v>
      </c>
      <c r="O70" s="108">
        <f>ZAŁOŻENIA!O$221</f>
        <v>253.27259811454186</v>
      </c>
      <c r="P70" s="108">
        <f>ZAŁOŻENIA!P$221</f>
        <v>258.66137679782997</v>
      </c>
      <c r="Q70" s="108">
        <f>ZAŁOŻENIA!Q$221</f>
        <v>264.05015548111811</v>
      </c>
      <c r="R70" s="108">
        <f>ZAŁOŻENIA!R$221</f>
        <v>269.43893416440625</v>
      </c>
      <c r="S70" s="108">
        <f>ZAŁOŻENIA!S$221</f>
        <v>274.82771284769433</v>
      </c>
    </row>
    <row r="71" spans="2:19">
      <c r="B71" s="1" t="s">
        <v>211</v>
      </c>
      <c r="C71" s="1" t="s">
        <v>212</v>
      </c>
      <c r="D71" s="108">
        <f>OBLICZENIA!D30</f>
        <v>0</v>
      </c>
      <c r="E71" s="108">
        <f>OBLICZENIA!E30</f>
        <v>0</v>
      </c>
      <c r="F71" s="108">
        <f>OBLICZENIA!F30</f>
        <v>0</v>
      </c>
      <c r="G71" s="108">
        <f>OBLICZENIA!G30</f>
        <v>0</v>
      </c>
      <c r="H71" s="108">
        <f>OBLICZENIA!H30</f>
        <v>0</v>
      </c>
      <c r="I71" s="108">
        <f>OBLICZENIA!I30</f>
        <v>0</v>
      </c>
      <c r="J71" s="108">
        <f>OBLICZENIA!J30</f>
        <v>0</v>
      </c>
      <c r="K71" s="108">
        <f>OBLICZENIA!K30</f>
        <v>0</v>
      </c>
      <c r="L71" s="108">
        <f>OBLICZENIA!L30</f>
        <v>0</v>
      </c>
      <c r="M71" s="108">
        <f>OBLICZENIA!M30</f>
        <v>0</v>
      </c>
      <c r="N71" s="108">
        <f>OBLICZENIA!N30</f>
        <v>0</v>
      </c>
      <c r="O71" s="108">
        <f>OBLICZENIA!O30</f>
        <v>0</v>
      </c>
      <c r="P71" s="108">
        <f>OBLICZENIA!P30</f>
        <v>0</v>
      </c>
      <c r="Q71" s="108">
        <f>OBLICZENIA!Q30</f>
        <v>0</v>
      </c>
      <c r="R71" s="108">
        <f>OBLICZENIA!R30</f>
        <v>0</v>
      </c>
      <c r="S71" s="108">
        <f>OBLICZENIA!S30</f>
        <v>0</v>
      </c>
    </row>
    <row r="72" spans="2:19">
      <c r="B72" s="112" t="s">
        <v>217</v>
      </c>
      <c r="C72" s="112" t="s">
        <v>55</v>
      </c>
      <c r="D72" s="121">
        <f>PRODUCT(D70,D71)/1000</f>
        <v>0</v>
      </c>
      <c r="E72" s="121">
        <f t="shared" ref="E72" si="33">PRODUCT(E70,E71)/1000</f>
        <v>0</v>
      </c>
      <c r="F72" s="121">
        <f t="shared" ref="F72" si="34">PRODUCT(F70,F71)/1000</f>
        <v>0</v>
      </c>
      <c r="G72" s="121">
        <f t="shared" ref="G72" si="35">PRODUCT(G70,G71)/1000</f>
        <v>0</v>
      </c>
      <c r="H72" s="121">
        <f t="shared" ref="H72" si="36">PRODUCT(H70,H71)/1000</f>
        <v>0</v>
      </c>
      <c r="I72" s="121">
        <f t="shared" ref="I72" si="37">PRODUCT(I70,I71)/1000</f>
        <v>0</v>
      </c>
      <c r="J72" s="121">
        <f t="shared" ref="J72" si="38">PRODUCT(J70,J71)/1000</f>
        <v>0</v>
      </c>
      <c r="K72" s="121">
        <f t="shared" ref="K72" si="39">PRODUCT(K70,K71)/1000</f>
        <v>0</v>
      </c>
      <c r="L72" s="121">
        <f t="shared" ref="L72" si="40">PRODUCT(L70,L71)/1000</f>
        <v>0</v>
      </c>
      <c r="M72" s="121">
        <f t="shared" ref="M72" si="41">PRODUCT(M70,M71)/1000</f>
        <v>0</v>
      </c>
      <c r="N72" s="121">
        <f t="shared" ref="N72" si="42">PRODUCT(N70,N71)/1000</f>
        <v>0</v>
      </c>
      <c r="O72" s="121">
        <f t="shared" ref="O72" si="43">PRODUCT(O70,O71)/1000</f>
        <v>0</v>
      </c>
      <c r="P72" s="121">
        <f t="shared" ref="P72" si="44">PRODUCT(P70,P71)/1000</f>
        <v>0</v>
      </c>
      <c r="Q72" s="121">
        <f t="shared" ref="Q72" si="45">PRODUCT(Q70,Q71)/1000</f>
        <v>0</v>
      </c>
      <c r="R72" s="121">
        <f t="shared" ref="R72" si="46">PRODUCT(R70,R71)/1000</f>
        <v>0</v>
      </c>
      <c r="S72" s="121">
        <f t="shared" ref="S72" si="47">PRODUCT(S70,S71)/1000</f>
        <v>0</v>
      </c>
    </row>
    <row r="75" spans="2:19" s="98" customFormat="1">
      <c r="B75" s="98" t="s">
        <v>148</v>
      </c>
    </row>
    <row r="77" spans="2:19">
      <c r="B77" s="97" t="s">
        <v>161</v>
      </c>
    </row>
    <row r="78" spans="2:19" ht="13.5" thickBot="1">
      <c r="B78" s="84" t="s">
        <v>1</v>
      </c>
      <c r="C78" s="84" t="s">
        <v>25</v>
      </c>
      <c r="D78" s="84">
        <v>2021</v>
      </c>
      <c r="E78" s="84">
        <f>D78+1</f>
        <v>2022</v>
      </c>
      <c r="F78" s="84">
        <f t="shared" ref="F78:S78" si="48">E78+1</f>
        <v>2023</v>
      </c>
      <c r="G78" s="84">
        <f t="shared" si="48"/>
        <v>2024</v>
      </c>
      <c r="H78" s="84">
        <f t="shared" si="48"/>
        <v>2025</v>
      </c>
      <c r="I78" s="84">
        <f t="shared" si="48"/>
        <v>2026</v>
      </c>
      <c r="J78" s="84">
        <f t="shared" si="48"/>
        <v>2027</v>
      </c>
      <c r="K78" s="84">
        <f t="shared" si="48"/>
        <v>2028</v>
      </c>
      <c r="L78" s="84">
        <f t="shared" si="48"/>
        <v>2029</v>
      </c>
      <c r="M78" s="84">
        <f t="shared" si="48"/>
        <v>2030</v>
      </c>
      <c r="N78" s="84">
        <f t="shared" si="48"/>
        <v>2031</v>
      </c>
      <c r="O78" s="84">
        <f t="shared" si="48"/>
        <v>2032</v>
      </c>
      <c r="P78" s="84">
        <f t="shared" si="48"/>
        <v>2033</v>
      </c>
      <c r="Q78" s="84">
        <f t="shared" si="48"/>
        <v>2034</v>
      </c>
      <c r="R78" s="84">
        <f t="shared" si="48"/>
        <v>2035</v>
      </c>
      <c r="S78" s="84">
        <f t="shared" si="48"/>
        <v>2036</v>
      </c>
    </row>
    <row r="79" spans="2:19" ht="13.5" thickTop="1">
      <c r="B79" s="1" t="s">
        <v>214</v>
      </c>
      <c r="C79" s="1" t="s">
        <v>151</v>
      </c>
      <c r="D79" s="106">
        <f>ZAŁOŻENIA!D$227</f>
        <v>6.4411632789904527E-2</v>
      </c>
      <c r="E79" s="106">
        <f>ZAŁOŻENIA!E$227</f>
        <v>6.688539867280141E-2</v>
      </c>
      <c r="F79" s="106">
        <f>ZAŁOŻENIA!F$227</f>
        <v>6.8980566702512583E-2</v>
      </c>
      <c r="G79" s="106">
        <f>ZAŁOŻENIA!G$227</f>
        <v>7.1040744799363217E-2</v>
      </c>
      <c r="H79" s="106">
        <f>ZAŁOŻENIA!H$227</f>
        <v>7.3173034821412991E-2</v>
      </c>
      <c r="I79" s="106">
        <f>ZAŁOŻENIA!I$227</f>
        <v>7.538031146173868E-2</v>
      </c>
      <c r="J79" s="106">
        <f>ZAŁOŻENIA!J$227</f>
        <v>7.7605086915688681E-2</v>
      </c>
      <c r="K79" s="106">
        <f>ZAŁOŻENIA!K$227</f>
        <v>7.984489126392938E-2</v>
      </c>
      <c r="L79" s="106">
        <f>ZAŁOŻENIA!L$227</f>
        <v>8.2032869409452633E-2</v>
      </c>
      <c r="M79" s="106">
        <f>ZAŁOŻENIA!M$227</f>
        <v>8.4160726571356814E-2</v>
      </c>
      <c r="N79" s="106">
        <f>ZAŁOŻENIA!N$227</f>
        <v>8.6289571850559021E-2</v>
      </c>
      <c r="O79" s="106">
        <f>ZAŁOŻENIA!O$227</f>
        <v>8.8415836875876272E-2</v>
      </c>
      <c r="P79" s="106">
        <f>ZAŁOŻENIA!P$227</f>
        <v>9.0535693620308527E-2</v>
      </c>
      <c r="Q79" s="106">
        <f>ZAŁOŻENIA!Q$227</f>
        <v>9.2645011468251742E-2</v>
      </c>
      <c r="R79" s="106">
        <f>ZAŁOŻENIA!R$227</f>
        <v>9.4813625030506263E-2</v>
      </c>
      <c r="S79" s="106">
        <f>ZAŁOŻENIA!S$227</f>
        <v>9.6967147300642251E-2</v>
      </c>
    </row>
    <row r="80" spans="2:19">
      <c r="B80" s="1" t="s">
        <v>67</v>
      </c>
      <c r="C80" s="1" t="s">
        <v>216</v>
      </c>
      <c r="D80" s="103">
        <f>ZAŁOŻENIA!D$157</f>
        <v>0</v>
      </c>
      <c r="E80" s="103">
        <f>ZAŁOŻENIA!E$157</f>
        <v>0</v>
      </c>
      <c r="F80" s="103">
        <f>ZAŁOŻENIA!F$157</f>
        <v>81830.322580645152</v>
      </c>
      <c r="G80" s="103">
        <f>ZAŁOŻENIA!G$157</f>
        <v>81830.322580645152</v>
      </c>
      <c r="H80" s="103">
        <f>ZAŁOŻENIA!H$157</f>
        <v>204575.80645161291</v>
      </c>
      <c r="I80" s="103">
        <f>ZAŁOŻENIA!I$157</f>
        <v>204575.80645161291</v>
      </c>
      <c r="J80" s="103">
        <f>ZAŁOŻENIA!J$157</f>
        <v>204575.80645161291</v>
      </c>
      <c r="K80" s="103">
        <f>ZAŁOŻENIA!K$157</f>
        <v>327321.29032258061</v>
      </c>
      <c r="L80" s="103">
        <f>ZAŁOŻENIA!L$157</f>
        <v>327321.29032258061</v>
      </c>
      <c r="M80" s="103">
        <f>ZAŁOŻENIA!M$157</f>
        <v>327321.29032258061</v>
      </c>
      <c r="N80" s="103">
        <f>ZAŁOŻENIA!N$157</f>
        <v>327321.29032258061</v>
      </c>
      <c r="O80" s="103">
        <f>ZAŁOŻENIA!O$157</f>
        <v>327321.29032258061</v>
      </c>
      <c r="P80" s="103">
        <f>ZAŁOŻENIA!P$157</f>
        <v>327321.29032258061</v>
      </c>
      <c r="Q80" s="103">
        <f>ZAŁOŻENIA!Q$157</f>
        <v>327321.29032258061</v>
      </c>
      <c r="R80" s="103">
        <f>ZAŁOŻENIA!R$157</f>
        <v>327321.29032258061</v>
      </c>
      <c r="S80" s="103">
        <f>ZAŁOŻENIA!S$157</f>
        <v>327321.29032258061</v>
      </c>
    </row>
    <row r="81" spans="2:19">
      <c r="B81" s="112" t="s">
        <v>215</v>
      </c>
      <c r="C81" s="112" t="s">
        <v>55</v>
      </c>
      <c r="D81" s="122">
        <f>PRODUCT(D80,D79)/1000</f>
        <v>0</v>
      </c>
      <c r="E81" s="122">
        <f t="shared" ref="E81:S81" si="49">PRODUCT(E80,E79)/1000</f>
        <v>0</v>
      </c>
      <c r="F81" s="122">
        <f t="shared" si="49"/>
        <v>5.6447020250623146</v>
      </c>
      <c r="G81" s="122">
        <f t="shared" si="49"/>
        <v>5.8132870633011819</v>
      </c>
      <c r="H81" s="122">
        <f t="shared" si="49"/>
        <v>14.969432609102515</v>
      </c>
      <c r="I81" s="122">
        <f t="shared" si="49"/>
        <v>15.42098800785895</v>
      </c>
      <c r="J81" s="122">
        <f t="shared" si="49"/>
        <v>15.876123240524525</v>
      </c>
      <c r="K81" s="122">
        <f t="shared" si="49"/>
        <v>26.134932834175508</v>
      </c>
      <c r="L81" s="122">
        <f t="shared" si="49"/>
        <v>26.851104663965788</v>
      </c>
      <c r="M81" s="122">
        <f t="shared" si="49"/>
        <v>27.547597615822408</v>
      </c>
      <c r="N81" s="122">
        <f t="shared" si="49"/>
        <v>28.244413999508009</v>
      </c>
      <c r="O81" s="122">
        <f t="shared" si="49"/>
        <v>28.940385811162624</v>
      </c>
      <c r="P81" s="122">
        <f t="shared" si="49"/>
        <v>29.634260056049218</v>
      </c>
      <c r="Q81" s="122">
        <f t="shared" si="49"/>
        <v>30.324684695738437</v>
      </c>
      <c r="R81" s="122">
        <f t="shared" si="49"/>
        <v>31.034518085146637</v>
      </c>
      <c r="S81" s="122">
        <f t="shared" si="49"/>
        <v>31.73941177334596</v>
      </c>
    </row>
    <row r="83" spans="2:19">
      <c r="B83" s="97" t="s">
        <v>162</v>
      </c>
    </row>
    <row r="84" spans="2:19" ht="13.5" thickBot="1">
      <c r="B84" s="84" t="s">
        <v>1</v>
      </c>
      <c r="C84" s="84" t="s">
        <v>25</v>
      </c>
      <c r="D84" s="84">
        <v>2021</v>
      </c>
      <c r="E84" s="84">
        <f>D84+1</f>
        <v>2022</v>
      </c>
      <c r="F84" s="84">
        <f t="shared" ref="F84:S84" si="50">E84+1</f>
        <v>2023</v>
      </c>
      <c r="G84" s="84">
        <f t="shared" si="50"/>
        <v>2024</v>
      </c>
      <c r="H84" s="84">
        <f t="shared" si="50"/>
        <v>2025</v>
      </c>
      <c r="I84" s="84">
        <f t="shared" si="50"/>
        <v>2026</v>
      </c>
      <c r="J84" s="84">
        <f t="shared" si="50"/>
        <v>2027</v>
      </c>
      <c r="K84" s="84">
        <f t="shared" si="50"/>
        <v>2028</v>
      </c>
      <c r="L84" s="84">
        <f t="shared" si="50"/>
        <v>2029</v>
      </c>
      <c r="M84" s="84">
        <f t="shared" si="50"/>
        <v>2030</v>
      </c>
      <c r="N84" s="84">
        <f t="shared" si="50"/>
        <v>2031</v>
      </c>
      <c r="O84" s="84">
        <f t="shared" si="50"/>
        <v>2032</v>
      </c>
      <c r="P84" s="84">
        <f t="shared" si="50"/>
        <v>2033</v>
      </c>
      <c r="Q84" s="84">
        <f t="shared" si="50"/>
        <v>2034</v>
      </c>
      <c r="R84" s="84">
        <f t="shared" si="50"/>
        <v>2035</v>
      </c>
      <c r="S84" s="84">
        <f t="shared" si="50"/>
        <v>2036</v>
      </c>
    </row>
    <row r="85" spans="2:19" ht="13.5" thickTop="1">
      <c r="B85" s="1" t="s">
        <v>214</v>
      </c>
      <c r="C85" s="1" t="s">
        <v>151</v>
      </c>
      <c r="D85" s="106">
        <f>ZAŁOŻENIA!D$227</f>
        <v>6.4411632789904527E-2</v>
      </c>
      <c r="E85" s="106">
        <f>ZAŁOŻENIA!E$227</f>
        <v>6.688539867280141E-2</v>
      </c>
      <c r="F85" s="106">
        <f>ZAŁOŻENIA!F$227</f>
        <v>6.8980566702512583E-2</v>
      </c>
      <c r="G85" s="106">
        <f>ZAŁOŻENIA!G$227</f>
        <v>7.1040744799363217E-2</v>
      </c>
      <c r="H85" s="106">
        <f>ZAŁOŻENIA!H$227</f>
        <v>7.3173034821412991E-2</v>
      </c>
      <c r="I85" s="106">
        <f>ZAŁOŻENIA!I$227</f>
        <v>7.538031146173868E-2</v>
      </c>
      <c r="J85" s="106">
        <f>ZAŁOŻENIA!J$227</f>
        <v>7.7605086915688681E-2</v>
      </c>
      <c r="K85" s="106">
        <f>ZAŁOŻENIA!K$227</f>
        <v>7.984489126392938E-2</v>
      </c>
      <c r="L85" s="106">
        <f>ZAŁOŻENIA!L$227</f>
        <v>8.2032869409452633E-2</v>
      </c>
      <c r="M85" s="106">
        <f>ZAŁOŻENIA!M$227</f>
        <v>8.4160726571356814E-2</v>
      </c>
      <c r="N85" s="106">
        <f>ZAŁOŻENIA!N$227</f>
        <v>8.6289571850559021E-2</v>
      </c>
      <c r="O85" s="106">
        <f>ZAŁOŻENIA!O$227</f>
        <v>8.8415836875876272E-2</v>
      </c>
      <c r="P85" s="106">
        <f>ZAŁOŻENIA!P$227</f>
        <v>9.0535693620308527E-2</v>
      </c>
      <c r="Q85" s="106">
        <f>ZAŁOŻENIA!Q$227</f>
        <v>9.2645011468251742E-2</v>
      </c>
      <c r="R85" s="106">
        <f>ZAŁOŻENIA!R$227</f>
        <v>9.4813625030506263E-2</v>
      </c>
      <c r="S85" s="106">
        <f>ZAŁOŻENIA!S$227</f>
        <v>9.6967147300642251E-2</v>
      </c>
    </row>
    <row r="86" spans="2:19">
      <c r="B86" s="1" t="s">
        <v>67</v>
      </c>
      <c r="C86" s="1" t="s">
        <v>216</v>
      </c>
      <c r="D86" s="103">
        <f>ZAŁOŻENIA!D$157</f>
        <v>0</v>
      </c>
      <c r="E86" s="103">
        <f>ZAŁOŻENIA!E$157</f>
        <v>0</v>
      </c>
      <c r="F86" s="103">
        <f>ZAŁOŻENIA!F$157</f>
        <v>81830.322580645152</v>
      </c>
      <c r="G86" s="103">
        <f>ZAŁOŻENIA!G$157</f>
        <v>81830.322580645152</v>
      </c>
      <c r="H86" s="103">
        <f>ZAŁOŻENIA!H$157</f>
        <v>204575.80645161291</v>
      </c>
      <c r="I86" s="103">
        <f>ZAŁOŻENIA!I$157</f>
        <v>204575.80645161291</v>
      </c>
      <c r="J86" s="103">
        <f>ZAŁOŻENIA!J$157</f>
        <v>204575.80645161291</v>
      </c>
      <c r="K86" s="103">
        <f>ZAŁOŻENIA!K$157</f>
        <v>327321.29032258061</v>
      </c>
      <c r="L86" s="103">
        <f>ZAŁOŻENIA!L$157</f>
        <v>327321.29032258061</v>
      </c>
      <c r="M86" s="103">
        <f>ZAŁOŻENIA!M$157</f>
        <v>327321.29032258061</v>
      </c>
      <c r="N86" s="103">
        <f>ZAŁOŻENIA!N$157</f>
        <v>327321.29032258061</v>
      </c>
      <c r="O86" s="103">
        <f>ZAŁOŻENIA!O$157</f>
        <v>327321.29032258061</v>
      </c>
      <c r="P86" s="103">
        <f>ZAŁOŻENIA!P$157</f>
        <v>327321.29032258061</v>
      </c>
      <c r="Q86" s="103">
        <f>ZAŁOŻENIA!Q$157</f>
        <v>327321.29032258061</v>
      </c>
      <c r="R86" s="103">
        <f>ZAŁOŻENIA!R$157</f>
        <v>327321.29032258061</v>
      </c>
      <c r="S86" s="103">
        <f>ZAŁOŻENIA!S$157</f>
        <v>327321.29032258061</v>
      </c>
    </row>
    <row r="87" spans="2:19">
      <c r="B87" s="1" t="s">
        <v>219</v>
      </c>
      <c r="C87" s="1" t="s">
        <v>55</v>
      </c>
      <c r="D87" s="122">
        <f>PRODUCT(D86,D85)/1000</f>
        <v>0</v>
      </c>
      <c r="E87" s="122">
        <f t="shared" ref="E87:S87" si="51">PRODUCT(E86,E85)/1000</f>
        <v>0</v>
      </c>
      <c r="F87" s="122">
        <f t="shared" si="51"/>
        <v>5.6447020250623146</v>
      </c>
      <c r="G87" s="122">
        <f t="shared" si="51"/>
        <v>5.8132870633011819</v>
      </c>
      <c r="H87" s="122">
        <f t="shared" si="51"/>
        <v>14.969432609102515</v>
      </c>
      <c r="I87" s="122">
        <f t="shared" si="51"/>
        <v>15.42098800785895</v>
      </c>
      <c r="J87" s="122">
        <f t="shared" si="51"/>
        <v>15.876123240524525</v>
      </c>
      <c r="K87" s="122">
        <f t="shared" si="51"/>
        <v>26.134932834175508</v>
      </c>
      <c r="L87" s="122">
        <f t="shared" si="51"/>
        <v>26.851104663965788</v>
      </c>
      <c r="M87" s="122">
        <f t="shared" si="51"/>
        <v>27.547597615822408</v>
      </c>
      <c r="N87" s="122">
        <f t="shared" si="51"/>
        <v>28.244413999508009</v>
      </c>
      <c r="O87" s="122">
        <f t="shared" si="51"/>
        <v>28.940385811162624</v>
      </c>
      <c r="P87" s="122">
        <f t="shared" si="51"/>
        <v>29.634260056049218</v>
      </c>
      <c r="Q87" s="122">
        <f t="shared" si="51"/>
        <v>30.324684695738437</v>
      </c>
      <c r="R87" s="122">
        <f t="shared" si="51"/>
        <v>31.034518085146637</v>
      </c>
      <c r="S87" s="122">
        <f t="shared" si="51"/>
        <v>31.73941177334596</v>
      </c>
    </row>
    <row r="90" spans="2:19" s="105" customFormat="1">
      <c r="B90" s="105" t="s">
        <v>220</v>
      </c>
    </row>
    <row r="92" spans="2:19">
      <c r="B92" s="97" t="s">
        <v>161</v>
      </c>
    </row>
    <row r="94" spans="2:19" ht="13.5" thickBot="1">
      <c r="B94" s="84" t="s">
        <v>1</v>
      </c>
      <c r="C94" s="84" t="s">
        <v>25</v>
      </c>
      <c r="D94" s="84">
        <v>2021</v>
      </c>
      <c r="E94" s="84">
        <f>D94+1</f>
        <v>2022</v>
      </c>
      <c r="F94" s="84">
        <f t="shared" ref="F94:S94" si="52">E94+1</f>
        <v>2023</v>
      </c>
      <c r="G94" s="84">
        <f t="shared" si="52"/>
        <v>2024</v>
      </c>
      <c r="H94" s="84">
        <f t="shared" si="52"/>
        <v>2025</v>
      </c>
      <c r="I94" s="84">
        <f t="shared" si="52"/>
        <v>2026</v>
      </c>
      <c r="J94" s="84">
        <f t="shared" si="52"/>
        <v>2027</v>
      </c>
      <c r="K94" s="84">
        <f t="shared" si="52"/>
        <v>2028</v>
      </c>
      <c r="L94" s="84">
        <f t="shared" si="52"/>
        <v>2029</v>
      </c>
      <c r="M94" s="84">
        <f t="shared" si="52"/>
        <v>2030</v>
      </c>
      <c r="N94" s="84">
        <f t="shared" si="52"/>
        <v>2031</v>
      </c>
      <c r="O94" s="84">
        <f t="shared" si="52"/>
        <v>2032</v>
      </c>
      <c r="P94" s="84">
        <f t="shared" si="52"/>
        <v>2033</v>
      </c>
      <c r="Q94" s="84">
        <f t="shared" si="52"/>
        <v>2034</v>
      </c>
      <c r="R94" s="84">
        <f t="shared" si="52"/>
        <v>2035</v>
      </c>
      <c r="S94" s="84">
        <f t="shared" si="52"/>
        <v>2036</v>
      </c>
    </row>
    <row r="95" spans="2:19" ht="13.5" thickTop="1">
      <c r="B95" s="1" t="str">
        <f>B46</f>
        <v>Oszczędność kosztów środowiskowych W1</v>
      </c>
      <c r="C95" s="1" t="str">
        <f t="shared" ref="C95:S95" si="53">C46</f>
        <v>tys. zł</v>
      </c>
      <c r="D95" s="103">
        <f t="shared" si="53"/>
        <v>0</v>
      </c>
      <c r="E95" s="103">
        <f t="shared" si="53"/>
        <v>0</v>
      </c>
      <c r="F95" s="103">
        <f t="shared" si="53"/>
        <v>-18.877634281798247</v>
      </c>
      <c r="G95" s="103">
        <f t="shared" si="53"/>
        <v>-19.441434936487575</v>
      </c>
      <c r="H95" s="103">
        <f t="shared" si="53"/>
        <v>-50.062425429364048</v>
      </c>
      <c r="I95" s="103">
        <f t="shared" si="53"/>
        <v>-51.572566733165011</v>
      </c>
      <c r="J95" s="103">
        <f t="shared" si="53"/>
        <v>-53.094680111847218</v>
      </c>
      <c r="K95" s="103">
        <f t="shared" si="53"/>
        <v>-87.403321173092365</v>
      </c>
      <c r="L95" s="103">
        <f t="shared" si="53"/>
        <v>-89.798421893321787</v>
      </c>
      <c r="M95" s="103">
        <f t="shared" si="53"/>
        <v>-92.127710342317329</v>
      </c>
      <c r="N95" s="103">
        <f t="shared" si="53"/>
        <v>-94.458080447661672</v>
      </c>
      <c r="O95" s="103">
        <f t="shared" si="53"/>
        <v>-96.785626042189577</v>
      </c>
      <c r="P95" s="103">
        <f t="shared" si="53"/>
        <v>-99.106156722882744</v>
      </c>
      <c r="Q95" s="103">
        <f t="shared" si="53"/>
        <v>-101.4151508538974</v>
      </c>
      <c r="R95" s="103">
        <f t="shared" si="53"/>
        <v>-103.78905386361551</v>
      </c>
      <c r="S95" s="103">
        <f t="shared" si="53"/>
        <v>-106.14643698043784</v>
      </c>
    </row>
    <row r="96" spans="2:19">
      <c r="B96" s="1" t="str">
        <f>B66</f>
        <v>Oszczędność kosztów zmian klimatycznych W1</v>
      </c>
      <c r="C96" s="1" t="str">
        <f t="shared" ref="C96:S96" si="54">C66</f>
        <v>tys. zł</v>
      </c>
      <c r="D96" s="103">
        <f t="shared" si="54"/>
        <v>0</v>
      </c>
      <c r="E96" s="103">
        <f t="shared" si="54"/>
        <v>0</v>
      </c>
      <c r="F96" s="103">
        <f t="shared" si="54"/>
        <v>-10.532249255554634</v>
      </c>
      <c r="G96" s="103">
        <f t="shared" si="54"/>
        <v>-10.809413709648179</v>
      </c>
      <c r="H96" s="103">
        <f t="shared" si="54"/>
        <v>-27.716445409354318</v>
      </c>
      <c r="I96" s="103">
        <f t="shared" si="54"/>
        <v>-28.409356544588174</v>
      </c>
      <c r="J96" s="103">
        <f t="shared" si="54"/>
        <v>-29.102267679822031</v>
      </c>
      <c r="K96" s="103">
        <f t="shared" si="54"/>
        <v>-47.672286104089402</v>
      </c>
      <c r="L96" s="103">
        <f t="shared" si="54"/>
        <v>-48.780943920463578</v>
      </c>
      <c r="M96" s="103">
        <f t="shared" si="54"/>
        <v>-49.88960173683774</v>
      </c>
      <c r="N96" s="103">
        <f t="shared" si="54"/>
        <v>-50.998259553211923</v>
      </c>
      <c r="O96" s="103">
        <f t="shared" si="54"/>
        <v>-52.106917369586093</v>
      </c>
      <c r="P96" s="103">
        <f t="shared" si="54"/>
        <v>-53.215575185960262</v>
      </c>
      <c r="Q96" s="103">
        <f t="shared" si="54"/>
        <v>-54.324233002334438</v>
      </c>
      <c r="R96" s="103">
        <f t="shared" si="54"/>
        <v>-55.432890818708614</v>
      </c>
      <c r="S96" s="103">
        <f t="shared" si="54"/>
        <v>-56.541548635082776</v>
      </c>
    </row>
    <row r="97" spans="2:19">
      <c r="B97" s="1" t="str">
        <f>B81</f>
        <v>Oszczędność kosztów hałasu W1</v>
      </c>
      <c r="C97" s="1" t="str">
        <f t="shared" ref="C97:S97" si="55">C81</f>
        <v>tys. zł</v>
      </c>
      <c r="D97" s="103">
        <f t="shared" si="55"/>
        <v>0</v>
      </c>
      <c r="E97" s="103">
        <f t="shared" si="55"/>
        <v>0</v>
      </c>
      <c r="F97" s="103">
        <f t="shared" si="55"/>
        <v>5.6447020250623146</v>
      </c>
      <c r="G97" s="103">
        <f t="shared" si="55"/>
        <v>5.8132870633011819</v>
      </c>
      <c r="H97" s="103">
        <f t="shared" si="55"/>
        <v>14.969432609102515</v>
      </c>
      <c r="I97" s="103">
        <f t="shared" si="55"/>
        <v>15.42098800785895</v>
      </c>
      <c r="J97" s="103">
        <f t="shared" si="55"/>
        <v>15.876123240524525</v>
      </c>
      <c r="K97" s="103">
        <f t="shared" si="55"/>
        <v>26.134932834175508</v>
      </c>
      <c r="L97" s="103">
        <f t="shared" si="55"/>
        <v>26.851104663965788</v>
      </c>
      <c r="M97" s="103">
        <f t="shared" si="55"/>
        <v>27.547597615822408</v>
      </c>
      <c r="N97" s="103">
        <f t="shared" si="55"/>
        <v>28.244413999508009</v>
      </c>
      <c r="O97" s="103">
        <f t="shared" si="55"/>
        <v>28.940385811162624</v>
      </c>
      <c r="P97" s="103">
        <f t="shared" si="55"/>
        <v>29.634260056049218</v>
      </c>
      <c r="Q97" s="103">
        <f t="shared" si="55"/>
        <v>30.324684695738437</v>
      </c>
      <c r="R97" s="103">
        <f t="shared" si="55"/>
        <v>31.034518085146637</v>
      </c>
      <c r="S97" s="103">
        <f t="shared" si="55"/>
        <v>31.73941177334596</v>
      </c>
    </row>
    <row r="98" spans="2:19">
      <c r="B98" s="112" t="s">
        <v>221</v>
      </c>
      <c r="C98" s="112"/>
      <c r="D98" s="120">
        <f>SUM(D95:D97)</f>
        <v>0</v>
      </c>
      <c r="E98" s="120">
        <f t="shared" ref="E98:S98" si="56">SUM(E95:E97)</f>
        <v>0</v>
      </c>
      <c r="F98" s="120">
        <f t="shared" si="56"/>
        <v>-23.765181512290567</v>
      </c>
      <c r="G98" s="120">
        <f t="shared" si="56"/>
        <v>-24.437561582834572</v>
      </c>
      <c r="H98" s="120">
        <f t="shared" si="56"/>
        <v>-62.80943822961585</v>
      </c>
      <c r="I98" s="120">
        <f t="shared" si="56"/>
        <v>-64.56093526989423</v>
      </c>
      <c r="J98" s="120">
        <f t="shared" si="56"/>
        <v>-66.320824551144725</v>
      </c>
      <c r="K98" s="120">
        <f t="shared" si="56"/>
        <v>-108.94067444300626</v>
      </c>
      <c r="L98" s="120">
        <f t="shared" si="56"/>
        <v>-111.72826114981957</v>
      </c>
      <c r="M98" s="120">
        <f t="shared" si="56"/>
        <v>-114.46971446333265</v>
      </c>
      <c r="N98" s="120">
        <f t="shared" si="56"/>
        <v>-117.21192600136557</v>
      </c>
      <c r="O98" s="120">
        <f t="shared" si="56"/>
        <v>-119.95215760061305</v>
      </c>
      <c r="P98" s="120">
        <f t="shared" si="56"/>
        <v>-122.68747185279378</v>
      </c>
      <c r="Q98" s="120">
        <f t="shared" si="56"/>
        <v>-125.41469916049338</v>
      </c>
      <c r="R98" s="120">
        <f t="shared" si="56"/>
        <v>-128.18742659717751</v>
      </c>
      <c r="S98" s="120">
        <f t="shared" si="56"/>
        <v>-130.94857384217468</v>
      </c>
    </row>
    <row r="100" spans="2:19">
      <c r="B100" s="97" t="s">
        <v>162</v>
      </c>
    </row>
    <row r="102" spans="2:19" ht="13.5" thickBot="1">
      <c r="B102" s="84" t="s">
        <v>1</v>
      </c>
      <c r="C102" s="84" t="s">
        <v>25</v>
      </c>
      <c r="D102" s="84">
        <v>2021</v>
      </c>
      <c r="E102" s="84">
        <f>D102+1</f>
        <v>2022</v>
      </c>
      <c r="F102" s="84">
        <f t="shared" ref="F102:S102" si="57">E102+1</f>
        <v>2023</v>
      </c>
      <c r="G102" s="84">
        <f t="shared" si="57"/>
        <v>2024</v>
      </c>
      <c r="H102" s="84">
        <f t="shared" si="57"/>
        <v>2025</v>
      </c>
      <c r="I102" s="84">
        <f t="shared" si="57"/>
        <v>2026</v>
      </c>
      <c r="J102" s="84">
        <f t="shared" si="57"/>
        <v>2027</v>
      </c>
      <c r="K102" s="84">
        <f t="shared" si="57"/>
        <v>2028</v>
      </c>
      <c r="L102" s="84">
        <f t="shared" si="57"/>
        <v>2029</v>
      </c>
      <c r="M102" s="84">
        <f t="shared" si="57"/>
        <v>2030</v>
      </c>
      <c r="N102" s="84">
        <f t="shared" si="57"/>
        <v>2031</v>
      </c>
      <c r="O102" s="84">
        <f t="shared" si="57"/>
        <v>2032</v>
      </c>
      <c r="P102" s="84">
        <f t="shared" si="57"/>
        <v>2033</v>
      </c>
      <c r="Q102" s="84">
        <f t="shared" si="57"/>
        <v>2034</v>
      </c>
      <c r="R102" s="84">
        <f t="shared" si="57"/>
        <v>2035</v>
      </c>
      <c r="S102" s="84">
        <f t="shared" si="57"/>
        <v>2036</v>
      </c>
    </row>
    <row r="103" spans="2:19" ht="13.5" thickTop="1">
      <c r="B103" s="1" t="str">
        <f>B58</f>
        <v>Oszczędność kosztów środowiskowych W2</v>
      </c>
      <c r="C103" s="1" t="str">
        <f t="shared" ref="C103:S103" si="58">C58</f>
        <v>tys. zł</v>
      </c>
      <c r="D103" s="103">
        <f t="shared" si="58"/>
        <v>0</v>
      </c>
      <c r="E103" s="103">
        <f t="shared" si="58"/>
        <v>0</v>
      </c>
      <c r="F103" s="103">
        <f t="shared" si="58"/>
        <v>0</v>
      </c>
      <c r="G103" s="103">
        <f t="shared" si="58"/>
        <v>0</v>
      </c>
      <c r="H103" s="103">
        <f t="shared" si="58"/>
        <v>0</v>
      </c>
      <c r="I103" s="103">
        <f t="shared" si="58"/>
        <v>0</v>
      </c>
      <c r="J103" s="103">
        <f t="shared" si="58"/>
        <v>0</v>
      </c>
      <c r="K103" s="103">
        <f t="shared" si="58"/>
        <v>0</v>
      </c>
      <c r="L103" s="103">
        <f t="shared" si="58"/>
        <v>0</v>
      </c>
      <c r="M103" s="103">
        <f t="shared" si="58"/>
        <v>0</v>
      </c>
      <c r="N103" s="103">
        <f t="shared" si="58"/>
        <v>0</v>
      </c>
      <c r="O103" s="103">
        <f t="shared" si="58"/>
        <v>0</v>
      </c>
      <c r="P103" s="103">
        <f t="shared" si="58"/>
        <v>0</v>
      </c>
      <c r="Q103" s="103">
        <f t="shared" si="58"/>
        <v>0</v>
      </c>
      <c r="R103" s="103">
        <f t="shared" si="58"/>
        <v>0</v>
      </c>
      <c r="S103" s="103">
        <f t="shared" si="58"/>
        <v>0</v>
      </c>
    </row>
    <row r="104" spans="2:19">
      <c r="B104" s="1" t="str">
        <f>B72</f>
        <v>Oszczędność kosztów zmian klimatycznych W2</v>
      </c>
      <c r="C104" s="1" t="str">
        <f t="shared" ref="C104:S104" si="59">C72</f>
        <v>tys. zł</v>
      </c>
      <c r="D104" s="103">
        <f t="shared" si="59"/>
        <v>0</v>
      </c>
      <c r="E104" s="103">
        <f t="shared" si="59"/>
        <v>0</v>
      </c>
      <c r="F104" s="103">
        <f t="shared" si="59"/>
        <v>0</v>
      </c>
      <c r="G104" s="103">
        <f t="shared" si="59"/>
        <v>0</v>
      </c>
      <c r="H104" s="103">
        <f t="shared" si="59"/>
        <v>0</v>
      </c>
      <c r="I104" s="103">
        <f t="shared" si="59"/>
        <v>0</v>
      </c>
      <c r="J104" s="103">
        <f t="shared" si="59"/>
        <v>0</v>
      </c>
      <c r="K104" s="103">
        <f t="shared" si="59"/>
        <v>0</v>
      </c>
      <c r="L104" s="103">
        <f t="shared" si="59"/>
        <v>0</v>
      </c>
      <c r="M104" s="103">
        <f t="shared" si="59"/>
        <v>0</v>
      </c>
      <c r="N104" s="103">
        <f t="shared" si="59"/>
        <v>0</v>
      </c>
      <c r="O104" s="103">
        <f t="shared" si="59"/>
        <v>0</v>
      </c>
      <c r="P104" s="103">
        <f t="shared" si="59"/>
        <v>0</v>
      </c>
      <c r="Q104" s="103">
        <f t="shared" si="59"/>
        <v>0</v>
      </c>
      <c r="R104" s="103">
        <f t="shared" si="59"/>
        <v>0</v>
      </c>
      <c r="S104" s="103">
        <f t="shared" si="59"/>
        <v>0</v>
      </c>
    </row>
    <row r="105" spans="2:19">
      <c r="B105" s="1" t="str">
        <f>B87</f>
        <v>Oszczędność kosztów hałasu W2</v>
      </c>
      <c r="C105" s="1" t="str">
        <f t="shared" ref="C105:S105" si="60">C87</f>
        <v>tys. zł</v>
      </c>
      <c r="D105" s="103">
        <f t="shared" si="60"/>
        <v>0</v>
      </c>
      <c r="E105" s="103">
        <f t="shared" si="60"/>
        <v>0</v>
      </c>
      <c r="F105" s="103">
        <f t="shared" si="60"/>
        <v>5.6447020250623146</v>
      </c>
      <c r="G105" s="103">
        <f t="shared" si="60"/>
        <v>5.8132870633011819</v>
      </c>
      <c r="H105" s="103">
        <f t="shared" si="60"/>
        <v>14.969432609102515</v>
      </c>
      <c r="I105" s="103">
        <f t="shared" si="60"/>
        <v>15.42098800785895</v>
      </c>
      <c r="J105" s="103">
        <f t="shared" si="60"/>
        <v>15.876123240524525</v>
      </c>
      <c r="K105" s="103">
        <f t="shared" si="60"/>
        <v>26.134932834175508</v>
      </c>
      <c r="L105" s="103">
        <f t="shared" si="60"/>
        <v>26.851104663965788</v>
      </c>
      <c r="M105" s="103">
        <f t="shared" si="60"/>
        <v>27.547597615822408</v>
      </c>
      <c r="N105" s="103">
        <f t="shared" si="60"/>
        <v>28.244413999508009</v>
      </c>
      <c r="O105" s="103">
        <f t="shared" si="60"/>
        <v>28.940385811162624</v>
      </c>
      <c r="P105" s="103">
        <f t="shared" si="60"/>
        <v>29.634260056049218</v>
      </c>
      <c r="Q105" s="103">
        <f t="shared" si="60"/>
        <v>30.324684695738437</v>
      </c>
      <c r="R105" s="103">
        <f t="shared" si="60"/>
        <v>31.034518085146637</v>
      </c>
      <c r="S105" s="103">
        <f t="shared" si="60"/>
        <v>31.73941177334596</v>
      </c>
    </row>
    <row r="106" spans="2:19">
      <c r="B106" s="112" t="s">
        <v>225</v>
      </c>
      <c r="C106" s="112"/>
      <c r="D106" s="120">
        <f>SUM(D103:D105)</f>
        <v>0</v>
      </c>
      <c r="E106" s="120">
        <f t="shared" ref="E106" si="61">SUM(E103:E105)</f>
        <v>0</v>
      </c>
      <c r="F106" s="120">
        <f t="shared" ref="F106" si="62">SUM(F103:F105)</f>
        <v>5.6447020250623146</v>
      </c>
      <c r="G106" s="120">
        <f t="shared" ref="G106" si="63">SUM(G103:G105)</f>
        <v>5.8132870633011819</v>
      </c>
      <c r="H106" s="120">
        <f t="shared" ref="H106" si="64">SUM(H103:H105)</f>
        <v>14.969432609102515</v>
      </c>
      <c r="I106" s="120">
        <f t="shared" ref="I106" si="65">SUM(I103:I105)</f>
        <v>15.42098800785895</v>
      </c>
      <c r="J106" s="120">
        <f t="shared" ref="J106" si="66">SUM(J103:J105)</f>
        <v>15.876123240524525</v>
      </c>
      <c r="K106" s="120">
        <f t="shared" ref="K106" si="67">SUM(K103:K105)</f>
        <v>26.134932834175508</v>
      </c>
      <c r="L106" s="120">
        <f t="shared" ref="L106" si="68">SUM(L103:L105)</f>
        <v>26.851104663965788</v>
      </c>
      <c r="M106" s="120">
        <f t="shared" ref="M106" si="69">SUM(M103:M105)</f>
        <v>27.547597615822408</v>
      </c>
      <c r="N106" s="120">
        <f t="shared" ref="N106" si="70">SUM(N103:N105)</f>
        <v>28.244413999508009</v>
      </c>
      <c r="O106" s="120">
        <f t="shared" ref="O106" si="71">SUM(O103:O105)</f>
        <v>28.940385811162624</v>
      </c>
      <c r="P106" s="120">
        <f t="shared" ref="P106" si="72">SUM(P103:P105)</f>
        <v>29.634260056049218</v>
      </c>
      <c r="Q106" s="120">
        <f t="shared" ref="Q106" si="73">SUM(Q103:Q105)</f>
        <v>30.324684695738437</v>
      </c>
      <c r="R106" s="120">
        <f t="shared" ref="R106" si="74">SUM(R103:R105)</f>
        <v>31.034518085146637</v>
      </c>
      <c r="S106" s="120">
        <f t="shared" ref="S106" si="75">SUM(S103:S105)</f>
        <v>31.73941177334596</v>
      </c>
    </row>
    <row r="108" spans="2:19" s="105" customFormat="1">
      <c r="B108" s="105" t="s">
        <v>224</v>
      </c>
    </row>
    <row r="109" spans="2:19">
      <c r="B109" s="1" t="s">
        <v>222</v>
      </c>
      <c r="D109" s="123">
        <f>ZAŁOŻENIA!D189</f>
        <v>4.4999999999999998E-2</v>
      </c>
    </row>
    <row r="110" spans="2:19">
      <c r="B110" s="1" t="s">
        <v>223</v>
      </c>
      <c r="D110" s="1">
        <v>1</v>
      </c>
      <c r="E110" s="1">
        <v>1</v>
      </c>
      <c r="F110" s="109">
        <f>E110/(1+$D$109)</f>
        <v>0.95693779904306231</v>
      </c>
      <c r="G110" s="109">
        <f t="shared" ref="G110:S110" si="76">F110/(1+$D$109)</f>
        <v>0.91572995123738021</v>
      </c>
      <c r="H110" s="109">
        <f t="shared" si="76"/>
        <v>0.87629660405490939</v>
      </c>
      <c r="I110" s="109">
        <f t="shared" si="76"/>
        <v>0.83856134359321477</v>
      </c>
      <c r="J110" s="109">
        <f t="shared" si="76"/>
        <v>0.802451046500684</v>
      </c>
      <c r="K110" s="109">
        <f t="shared" si="76"/>
        <v>0.7678957382781666</v>
      </c>
      <c r="L110" s="109">
        <f t="shared" si="76"/>
        <v>0.73482845768245608</v>
      </c>
      <c r="M110" s="109">
        <f t="shared" si="76"/>
        <v>0.70318512696885749</v>
      </c>
      <c r="N110" s="109">
        <f t="shared" si="76"/>
        <v>0.6729044277213948</v>
      </c>
      <c r="O110" s="109">
        <f t="shared" si="76"/>
        <v>0.64392768203004291</v>
      </c>
      <c r="P110" s="109">
        <f t="shared" si="76"/>
        <v>0.61619873878473008</v>
      </c>
      <c r="Q110" s="109">
        <f t="shared" si="76"/>
        <v>0.58966386486577049</v>
      </c>
      <c r="R110" s="109">
        <f t="shared" si="76"/>
        <v>0.56427164101987615</v>
      </c>
      <c r="S110" s="109">
        <f t="shared" si="76"/>
        <v>0.5399728622199772</v>
      </c>
    </row>
    <row r="112" spans="2:19">
      <c r="B112" s="97" t="s">
        <v>161</v>
      </c>
    </row>
    <row r="114" spans="2:19" ht="13.5" thickBot="1">
      <c r="B114" s="84" t="s">
        <v>1</v>
      </c>
      <c r="C114" s="84" t="s">
        <v>25</v>
      </c>
      <c r="D114" s="84">
        <v>2021</v>
      </c>
      <c r="E114" s="84">
        <f>D114+1</f>
        <v>2022</v>
      </c>
      <c r="F114" s="84">
        <f t="shared" ref="F114:S114" si="77">E114+1</f>
        <v>2023</v>
      </c>
      <c r="G114" s="84">
        <f t="shared" si="77"/>
        <v>2024</v>
      </c>
      <c r="H114" s="84">
        <f t="shared" si="77"/>
        <v>2025</v>
      </c>
      <c r="I114" s="84">
        <f t="shared" si="77"/>
        <v>2026</v>
      </c>
      <c r="J114" s="84">
        <f t="shared" si="77"/>
        <v>2027</v>
      </c>
      <c r="K114" s="84">
        <f t="shared" si="77"/>
        <v>2028</v>
      </c>
      <c r="L114" s="84">
        <f t="shared" si="77"/>
        <v>2029</v>
      </c>
      <c r="M114" s="84">
        <f t="shared" si="77"/>
        <v>2030</v>
      </c>
      <c r="N114" s="84">
        <f t="shared" si="77"/>
        <v>2031</v>
      </c>
      <c r="O114" s="84">
        <f t="shared" si="77"/>
        <v>2032</v>
      </c>
      <c r="P114" s="84">
        <f t="shared" si="77"/>
        <v>2033</v>
      </c>
      <c r="Q114" s="84">
        <f t="shared" si="77"/>
        <v>2034</v>
      </c>
      <c r="R114" s="84">
        <f t="shared" si="77"/>
        <v>2035</v>
      </c>
      <c r="S114" s="84">
        <f t="shared" si="77"/>
        <v>2036</v>
      </c>
    </row>
    <row r="115" spans="2:19" ht="13.5" thickTop="1">
      <c r="B115" s="1" t="str">
        <f>B95</f>
        <v>Oszczędność kosztów środowiskowych W1</v>
      </c>
      <c r="C115" s="1" t="str">
        <f>C95</f>
        <v>tys. zł</v>
      </c>
      <c r="D115" s="103">
        <f>D95*D$110</f>
        <v>0</v>
      </c>
      <c r="E115" s="103">
        <f t="shared" ref="E115:S115" si="78">E95*E$110</f>
        <v>0</v>
      </c>
      <c r="F115" s="103">
        <f t="shared" si="78"/>
        <v>-18.064721800763873</v>
      </c>
      <c r="G115" s="103">
        <f t="shared" si="78"/>
        <v>-17.803104266374469</v>
      </c>
      <c r="H115" s="103">
        <f t="shared" si="78"/>
        <v>-43.869533394503854</v>
      </c>
      <c r="I115" s="103">
        <f t="shared" si="78"/>
        <v>-43.246760852313585</v>
      </c>
      <c r="J115" s="103">
        <f t="shared" si="78"/>
        <v>-42.605881619370855</v>
      </c>
      <c r="K115" s="103">
        <f t="shared" si="78"/>
        <v>-67.116637840175471</v>
      </c>
      <c r="L115" s="103">
        <f t="shared" si="78"/>
        <v>-65.986435862188145</v>
      </c>
      <c r="M115" s="103">
        <f t="shared" si="78"/>
        <v>-64.78283569441254</v>
      </c>
      <c r="N115" s="103">
        <f t="shared" si="78"/>
        <v>-63.56126056729525</v>
      </c>
      <c r="O115" s="103">
        <f t="shared" si="78"/>
        <v>-62.322943831173689</v>
      </c>
      <c r="P115" s="103">
        <f t="shared" si="78"/>
        <v>-61.069088778442143</v>
      </c>
      <c r="Q115" s="103">
        <f t="shared" si="78"/>
        <v>-59.800849808454288</v>
      </c>
      <c r="R115" s="103">
        <f t="shared" si="78"/>
        <v>-58.56521974352264</v>
      </c>
      <c r="S115" s="103">
        <f t="shared" si="78"/>
        <v>-57.316195390779455</v>
      </c>
    </row>
    <row r="116" spans="2:19">
      <c r="B116" s="1" t="str">
        <f t="shared" ref="B116:C117" si="79">B96</f>
        <v>Oszczędność kosztów zmian klimatycznych W1</v>
      </c>
      <c r="C116" s="1" t="str">
        <f t="shared" si="79"/>
        <v>tys. zł</v>
      </c>
      <c r="D116" s="103">
        <f t="shared" ref="D116:S117" si="80">D96*D$110</f>
        <v>0</v>
      </c>
      <c r="E116" s="103">
        <f t="shared" si="80"/>
        <v>0</v>
      </c>
      <c r="F116" s="103">
        <f t="shared" si="80"/>
        <v>-10.078707421583383</v>
      </c>
      <c r="G116" s="103">
        <f t="shared" si="80"/>
        <v>-9.8985038892407964</v>
      </c>
      <c r="H116" s="103">
        <f t="shared" si="80"/>
        <v>-24.287826988690473</v>
      </c>
      <c r="I116" s="103">
        <f t="shared" si="80"/>
        <v>-23.822988194648548</v>
      </c>
      <c r="J116" s="103">
        <f t="shared" si="80"/>
        <v>-23.353145155216222</v>
      </c>
      <c r="K116" s="103">
        <f t="shared" si="80"/>
        <v>-36.607345333307713</v>
      </c>
      <c r="L116" s="103">
        <f t="shared" si="80"/>
        <v>-35.845625785368632</v>
      </c>
      <c r="M116" s="103">
        <f t="shared" si="80"/>
        <v>-35.081625931743979</v>
      </c>
      <c r="N116" s="103">
        <f t="shared" si="80"/>
        <v>-34.316954659441222</v>
      </c>
      <c r="O116" s="103">
        <f t="shared" si="80"/>
        <v>-33.553086519528556</v>
      </c>
      <c r="P116" s="103">
        <f t="shared" si="80"/>
        <v>-32.791370313292688</v>
      </c>
      <c r="Q116" s="103">
        <f t="shared" si="80"/>
        <v>-32.033037188025162</v>
      </c>
      <c r="R116" s="103">
        <f t="shared" si="80"/>
        <v>-31.279208268748334</v>
      </c>
      <c r="S116" s="103">
        <f t="shared" si="80"/>
        <v>-30.530901850835694</v>
      </c>
    </row>
    <row r="117" spans="2:19">
      <c r="B117" s="1" t="str">
        <f t="shared" si="79"/>
        <v>Oszczędność kosztów hałasu W1</v>
      </c>
      <c r="C117" s="1" t="str">
        <f t="shared" si="79"/>
        <v>tys. zł</v>
      </c>
      <c r="D117" s="103">
        <f t="shared" si="80"/>
        <v>0</v>
      </c>
      <c r="E117" s="103">
        <f t="shared" si="80"/>
        <v>0</v>
      </c>
      <c r="F117" s="103">
        <f t="shared" si="80"/>
        <v>5.4016287321170484</v>
      </c>
      <c r="G117" s="103">
        <f t="shared" si="80"/>
        <v>5.3234010790056843</v>
      </c>
      <c r="H117" s="103">
        <f t="shared" si="80"/>
        <v>13.117662959985356</v>
      </c>
      <c r="I117" s="103">
        <f t="shared" si="80"/>
        <v>12.931444423405054</v>
      </c>
      <c r="J117" s="103">
        <f t="shared" si="80"/>
        <v>12.739811708732734</v>
      </c>
      <c r="K117" s="103">
        <f t="shared" si="80"/>
        <v>20.068903543549499</v>
      </c>
      <c r="L117" s="103">
        <f t="shared" si="80"/>
        <v>19.730955827292185</v>
      </c>
      <c r="M117" s="103">
        <f t="shared" si="80"/>
        <v>19.371060927169076</v>
      </c>
      <c r="N117" s="103">
        <f t="shared" si="80"/>
        <v>19.00579123866509</v>
      </c>
      <c r="O117" s="103">
        <f t="shared" si="80"/>
        <v>18.635515552437091</v>
      </c>
      <c r="P117" s="103">
        <f t="shared" si="80"/>
        <v>18.260593671356233</v>
      </c>
      <c r="Q117" s="103">
        <f t="shared" si="80"/>
        <v>17.881370778525007</v>
      </c>
      <c r="R117" s="103">
        <f t="shared" si="80"/>
        <v>17.511898448166718</v>
      </c>
      <c r="S117" s="103">
        <f t="shared" si="80"/>
        <v>17.138421020432059</v>
      </c>
    </row>
    <row r="118" spans="2:19">
      <c r="B118" s="112" t="s">
        <v>221</v>
      </c>
      <c r="C118" s="112"/>
      <c r="D118" s="120">
        <f>SUM(D115:D117)</f>
        <v>0</v>
      </c>
      <c r="E118" s="120">
        <f t="shared" ref="E118" si="81">SUM(E115:E117)</f>
        <v>0</v>
      </c>
      <c r="F118" s="120">
        <f t="shared" ref="F118" si="82">SUM(F115:F117)</f>
        <v>-22.741800490230212</v>
      </c>
      <c r="G118" s="120">
        <f t="shared" ref="G118" si="83">SUM(G115:G117)</f>
        <v>-22.378207076609581</v>
      </c>
      <c r="H118" s="120">
        <f t="shared" ref="H118" si="84">SUM(H115:H117)</f>
        <v>-55.039697423208978</v>
      </c>
      <c r="I118" s="120">
        <f t="shared" ref="I118" si="85">SUM(I115:I117)</f>
        <v>-54.138304623557076</v>
      </c>
      <c r="J118" s="120">
        <f t="shared" ref="J118" si="86">SUM(J115:J117)</f>
        <v>-53.219215065854343</v>
      </c>
      <c r="K118" s="120">
        <f t="shared" ref="K118" si="87">SUM(K115:K117)</f>
        <v>-83.655079629933695</v>
      </c>
      <c r="L118" s="120">
        <f t="shared" ref="L118" si="88">SUM(L115:L117)</f>
        <v>-82.101105820264593</v>
      </c>
      <c r="M118" s="120">
        <f t="shared" ref="M118" si="89">SUM(M115:M117)</f>
        <v>-80.493400698987443</v>
      </c>
      <c r="N118" s="120">
        <f t="shared" ref="N118" si="90">SUM(N115:N117)</f>
        <v>-78.872423988071375</v>
      </c>
      <c r="O118" s="120">
        <f t="shared" ref="O118" si="91">SUM(O115:O117)</f>
        <v>-77.240514798265167</v>
      </c>
      <c r="P118" s="120">
        <f t="shared" ref="P118" si="92">SUM(P115:P117)</f>
        <v>-75.599865420378606</v>
      </c>
      <c r="Q118" s="120">
        <f t="shared" ref="Q118" si="93">SUM(Q115:Q117)</f>
        <v>-73.95251621795444</v>
      </c>
      <c r="R118" s="120">
        <f t="shared" ref="R118" si="94">SUM(R115:R117)</f>
        <v>-72.332529564104263</v>
      </c>
      <c r="S118" s="120">
        <f t="shared" ref="S118" si="95">SUM(S115:S117)</f>
        <v>-70.708676221183083</v>
      </c>
    </row>
    <row r="120" spans="2:19">
      <c r="B120" s="97" t="s">
        <v>162</v>
      </c>
    </row>
    <row r="122" spans="2:19" ht="13.5" thickBot="1">
      <c r="B122" s="84" t="s">
        <v>1</v>
      </c>
      <c r="C122" s="84" t="s">
        <v>25</v>
      </c>
      <c r="D122" s="84">
        <v>2021</v>
      </c>
      <c r="E122" s="84">
        <f>D122+1</f>
        <v>2022</v>
      </c>
      <c r="F122" s="84">
        <f t="shared" ref="F122:S122" si="96">E122+1</f>
        <v>2023</v>
      </c>
      <c r="G122" s="84">
        <f t="shared" si="96"/>
        <v>2024</v>
      </c>
      <c r="H122" s="84">
        <f t="shared" si="96"/>
        <v>2025</v>
      </c>
      <c r="I122" s="84">
        <f t="shared" si="96"/>
        <v>2026</v>
      </c>
      <c r="J122" s="84">
        <f t="shared" si="96"/>
        <v>2027</v>
      </c>
      <c r="K122" s="84">
        <f t="shared" si="96"/>
        <v>2028</v>
      </c>
      <c r="L122" s="84">
        <f t="shared" si="96"/>
        <v>2029</v>
      </c>
      <c r="M122" s="84">
        <f t="shared" si="96"/>
        <v>2030</v>
      </c>
      <c r="N122" s="84">
        <f t="shared" si="96"/>
        <v>2031</v>
      </c>
      <c r="O122" s="84">
        <f t="shared" si="96"/>
        <v>2032</v>
      </c>
      <c r="P122" s="84">
        <f t="shared" si="96"/>
        <v>2033</v>
      </c>
      <c r="Q122" s="84">
        <f t="shared" si="96"/>
        <v>2034</v>
      </c>
      <c r="R122" s="84">
        <f t="shared" si="96"/>
        <v>2035</v>
      </c>
      <c r="S122" s="84">
        <f t="shared" si="96"/>
        <v>2036</v>
      </c>
    </row>
    <row r="123" spans="2:19" ht="13.5" thickTop="1">
      <c r="B123" s="1" t="str">
        <f>B103</f>
        <v>Oszczędność kosztów środowiskowych W2</v>
      </c>
      <c r="C123" s="1" t="str">
        <f>C103</f>
        <v>tys. zł</v>
      </c>
      <c r="D123" s="103">
        <f>D103*D$110</f>
        <v>0</v>
      </c>
      <c r="E123" s="103">
        <f t="shared" ref="E123:S123" si="97">E103*E$110</f>
        <v>0</v>
      </c>
      <c r="F123" s="103">
        <f t="shared" si="97"/>
        <v>0</v>
      </c>
      <c r="G123" s="103">
        <f t="shared" si="97"/>
        <v>0</v>
      </c>
      <c r="H123" s="103">
        <f t="shared" si="97"/>
        <v>0</v>
      </c>
      <c r="I123" s="103">
        <f t="shared" si="97"/>
        <v>0</v>
      </c>
      <c r="J123" s="103">
        <f t="shared" si="97"/>
        <v>0</v>
      </c>
      <c r="K123" s="103">
        <f t="shared" si="97"/>
        <v>0</v>
      </c>
      <c r="L123" s="103">
        <f t="shared" si="97"/>
        <v>0</v>
      </c>
      <c r="M123" s="103">
        <f t="shared" si="97"/>
        <v>0</v>
      </c>
      <c r="N123" s="103">
        <f t="shared" si="97"/>
        <v>0</v>
      </c>
      <c r="O123" s="103">
        <f t="shared" si="97"/>
        <v>0</v>
      </c>
      <c r="P123" s="103">
        <f t="shared" si="97"/>
        <v>0</v>
      </c>
      <c r="Q123" s="103">
        <f t="shared" si="97"/>
        <v>0</v>
      </c>
      <c r="R123" s="103">
        <f t="shared" si="97"/>
        <v>0</v>
      </c>
      <c r="S123" s="103">
        <f t="shared" si="97"/>
        <v>0</v>
      </c>
    </row>
    <row r="124" spans="2:19">
      <c r="B124" s="1" t="str">
        <f t="shared" ref="B124:C125" si="98">B104</f>
        <v>Oszczędność kosztów zmian klimatycznych W2</v>
      </c>
      <c r="C124" s="1" t="str">
        <f t="shared" si="98"/>
        <v>tys. zł</v>
      </c>
      <c r="D124" s="103">
        <f t="shared" ref="D124:S125" si="99">D104*D$110</f>
        <v>0</v>
      </c>
      <c r="E124" s="103">
        <f t="shared" si="99"/>
        <v>0</v>
      </c>
      <c r="F124" s="103">
        <f t="shared" si="99"/>
        <v>0</v>
      </c>
      <c r="G124" s="103">
        <f t="shared" si="99"/>
        <v>0</v>
      </c>
      <c r="H124" s="103">
        <f t="shared" si="99"/>
        <v>0</v>
      </c>
      <c r="I124" s="103">
        <f t="shared" si="99"/>
        <v>0</v>
      </c>
      <c r="J124" s="103">
        <f t="shared" si="99"/>
        <v>0</v>
      </c>
      <c r="K124" s="103">
        <f t="shared" si="99"/>
        <v>0</v>
      </c>
      <c r="L124" s="103">
        <f t="shared" si="99"/>
        <v>0</v>
      </c>
      <c r="M124" s="103">
        <f t="shared" si="99"/>
        <v>0</v>
      </c>
      <c r="N124" s="103">
        <f t="shared" si="99"/>
        <v>0</v>
      </c>
      <c r="O124" s="103">
        <f t="shared" si="99"/>
        <v>0</v>
      </c>
      <c r="P124" s="103">
        <f t="shared" si="99"/>
        <v>0</v>
      </c>
      <c r="Q124" s="103">
        <f t="shared" si="99"/>
        <v>0</v>
      </c>
      <c r="R124" s="103">
        <f t="shared" si="99"/>
        <v>0</v>
      </c>
      <c r="S124" s="103">
        <f t="shared" si="99"/>
        <v>0</v>
      </c>
    </row>
    <row r="125" spans="2:19">
      <c r="B125" s="1" t="str">
        <f t="shared" si="98"/>
        <v>Oszczędność kosztów hałasu W2</v>
      </c>
      <c r="C125" s="1" t="str">
        <f t="shared" si="98"/>
        <v>tys. zł</v>
      </c>
      <c r="D125" s="103">
        <f t="shared" si="99"/>
        <v>0</v>
      </c>
      <c r="E125" s="103">
        <f t="shared" si="99"/>
        <v>0</v>
      </c>
      <c r="F125" s="103">
        <f t="shared" si="99"/>
        <v>5.4016287321170484</v>
      </c>
      <c r="G125" s="103">
        <f t="shared" si="99"/>
        <v>5.3234010790056843</v>
      </c>
      <c r="H125" s="103">
        <f t="shared" si="99"/>
        <v>13.117662959985356</v>
      </c>
      <c r="I125" s="103">
        <f t="shared" si="99"/>
        <v>12.931444423405054</v>
      </c>
      <c r="J125" s="103">
        <f t="shared" si="99"/>
        <v>12.739811708732734</v>
      </c>
      <c r="K125" s="103">
        <f t="shared" si="99"/>
        <v>20.068903543549499</v>
      </c>
      <c r="L125" s="103">
        <f t="shared" si="99"/>
        <v>19.730955827292185</v>
      </c>
      <c r="M125" s="103">
        <f t="shared" si="99"/>
        <v>19.371060927169076</v>
      </c>
      <c r="N125" s="103">
        <f t="shared" si="99"/>
        <v>19.00579123866509</v>
      </c>
      <c r="O125" s="103">
        <f t="shared" si="99"/>
        <v>18.635515552437091</v>
      </c>
      <c r="P125" s="103">
        <f t="shared" si="99"/>
        <v>18.260593671356233</v>
      </c>
      <c r="Q125" s="103">
        <f t="shared" si="99"/>
        <v>17.881370778525007</v>
      </c>
      <c r="R125" s="103">
        <f t="shared" si="99"/>
        <v>17.511898448166718</v>
      </c>
      <c r="S125" s="103">
        <f t="shared" si="99"/>
        <v>17.138421020432059</v>
      </c>
    </row>
    <row r="126" spans="2:19">
      <c r="B126" s="112" t="s">
        <v>225</v>
      </c>
      <c r="C126" s="112"/>
      <c r="D126" s="120">
        <f>SUM(D123:D125)</f>
        <v>0</v>
      </c>
      <c r="E126" s="120">
        <f t="shared" ref="E126" si="100">SUM(E123:E125)</f>
        <v>0</v>
      </c>
      <c r="F126" s="120">
        <f t="shared" ref="F126" si="101">SUM(F123:F125)</f>
        <v>5.4016287321170484</v>
      </c>
      <c r="G126" s="120">
        <f t="shared" ref="G126" si="102">SUM(G123:G125)</f>
        <v>5.3234010790056843</v>
      </c>
      <c r="H126" s="120">
        <f t="shared" ref="H126" si="103">SUM(H123:H125)</f>
        <v>13.117662959985356</v>
      </c>
      <c r="I126" s="120">
        <f t="shared" ref="I126" si="104">SUM(I123:I125)</f>
        <v>12.931444423405054</v>
      </c>
      <c r="J126" s="120">
        <f t="shared" ref="J126" si="105">SUM(J123:J125)</f>
        <v>12.739811708732734</v>
      </c>
      <c r="K126" s="120">
        <f t="shared" ref="K126" si="106">SUM(K123:K125)</f>
        <v>20.068903543549499</v>
      </c>
      <c r="L126" s="120">
        <f t="shared" ref="L126" si="107">SUM(L123:L125)</f>
        <v>19.730955827292185</v>
      </c>
      <c r="M126" s="120">
        <f t="shared" ref="M126" si="108">SUM(M123:M125)</f>
        <v>19.371060927169076</v>
      </c>
      <c r="N126" s="120">
        <f t="shared" ref="N126" si="109">SUM(N123:N125)</f>
        <v>19.00579123866509</v>
      </c>
      <c r="O126" s="120">
        <f t="shared" ref="O126" si="110">SUM(O123:O125)</f>
        <v>18.635515552437091</v>
      </c>
      <c r="P126" s="120">
        <f t="shared" ref="P126" si="111">SUM(P123:P125)</f>
        <v>18.260593671356233</v>
      </c>
      <c r="Q126" s="120">
        <f t="shared" ref="Q126" si="112">SUM(Q123:Q125)</f>
        <v>17.881370778525007</v>
      </c>
      <c r="R126" s="120">
        <f t="shared" ref="R126" si="113">SUM(R123:R125)</f>
        <v>17.511898448166718</v>
      </c>
      <c r="S126" s="120">
        <f t="shared" ref="S126" si="114">SUM(S123:S125)</f>
        <v>17.138421020432059</v>
      </c>
    </row>
    <row r="129" spans="2:19" s="44" customFormat="1" ht="18.75">
      <c r="B129" s="2" t="s">
        <v>196</v>
      </c>
    </row>
    <row r="131" spans="2:19">
      <c r="B131" s="97" t="s">
        <v>161</v>
      </c>
    </row>
    <row r="132" spans="2:19" ht="13.5" thickBot="1">
      <c r="B132" s="84" t="s">
        <v>1</v>
      </c>
      <c r="C132" s="84" t="s">
        <v>25</v>
      </c>
      <c r="D132" s="84">
        <v>2021</v>
      </c>
      <c r="E132" s="84">
        <f>D132+1</f>
        <v>2022</v>
      </c>
      <c r="F132" s="84">
        <f t="shared" ref="F132:S132" si="115">E132+1</f>
        <v>2023</v>
      </c>
      <c r="G132" s="84">
        <f t="shared" si="115"/>
        <v>2024</v>
      </c>
      <c r="H132" s="84">
        <f t="shared" si="115"/>
        <v>2025</v>
      </c>
      <c r="I132" s="84">
        <f t="shared" si="115"/>
        <v>2026</v>
      </c>
      <c r="J132" s="84">
        <f t="shared" si="115"/>
        <v>2027</v>
      </c>
      <c r="K132" s="84">
        <f t="shared" si="115"/>
        <v>2028</v>
      </c>
      <c r="L132" s="84">
        <f t="shared" si="115"/>
        <v>2029</v>
      </c>
      <c r="M132" s="84">
        <f t="shared" si="115"/>
        <v>2030</v>
      </c>
      <c r="N132" s="84">
        <f t="shared" si="115"/>
        <v>2031</v>
      </c>
      <c r="O132" s="84">
        <f t="shared" si="115"/>
        <v>2032</v>
      </c>
      <c r="P132" s="84">
        <f t="shared" si="115"/>
        <v>2033</v>
      </c>
      <c r="Q132" s="84">
        <f t="shared" si="115"/>
        <v>2034</v>
      </c>
      <c r="R132" s="84">
        <f t="shared" si="115"/>
        <v>2035</v>
      </c>
      <c r="S132" s="84">
        <f t="shared" si="115"/>
        <v>2036</v>
      </c>
    </row>
    <row r="133" spans="2:19" ht="13.5" thickTop="1">
      <c r="B133" s="1" t="s">
        <v>226</v>
      </c>
      <c r="C133" s="54" t="s">
        <v>55</v>
      </c>
      <c r="D133" s="103">
        <f>-(D21-D14)</f>
        <v>0</v>
      </c>
      <c r="E133" s="103">
        <f t="shared" ref="E133:K133" si="116">-(E21-E14)</f>
        <v>-4161.8</v>
      </c>
      <c r="F133" s="103">
        <f t="shared" si="116"/>
        <v>0</v>
      </c>
      <c r="G133" s="103">
        <f t="shared" si="116"/>
        <v>-4441.6000000000004</v>
      </c>
      <c r="H133" s="103">
        <f t="shared" si="116"/>
        <v>0</v>
      </c>
      <c r="I133" s="103">
        <f t="shared" si="116"/>
        <v>0</v>
      </c>
      <c r="J133" s="103">
        <f t="shared" si="116"/>
        <v>-4441.6000000000004</v>
      </c>
      <c r="K133" s="103">
        <f t="shared" si="116"/>
        <v>0</v>
      </c>
    </row>
    <row r="134" spans="2:19">
      <c r="B134" s="1" t="s">
        <v>227</v>
      </c>
      <c r="C134" s="54" t="s">
        <v>55</v>
      </c>
      <c r="S134" s="1">
        <f>OBLICZENIA!S97*'ANALIZA EKONOMICZNA'!C4+OBLICZENIA!S107*'ANALIZA EKONOMICZNA'!C5</f>
        <v>0</v>
      </c>
    </row>
    <row r="135" spans="2:19">
      <c r="B135" s="1" t="s">
        <v>228</v>
      </c>
      <c r="C135" s="54" t="s">
        <v>55</v>
      </c>
      <c r="D135" s="103">
        <f>-(OBLICZENIA!D9-OBLICZENIA!D7)-OBLICZENIA!D16</f>
        <v>0</v>
      </c>
      <c r="E135" s="103">
        <f>-(OBLICZENIA!E9-OBLICZENIA!E7)-OBLICZENIA!E16</f>
        <v>0</v>
      </c>
      <c r="F135" s="103">
        <f>-(OBLICZENIA!F9-OBLICZENIA!F7)-OBLICZENIA!F16</f>
        <v>21.873245225806386</v>
      </c>
      <c r="G135" s="103">
        <f>-(OBLICZENIA!G9-OBLICZENIA!G7)-OBLICZENIA!G16</f>
        <v>21.873245225806386</v>
      </c>
      <c r="H135" s="103">
        <f>-(OBLICZENIA!H9-OBLICZENIA!H7)-OBLICZENIA!H16</f>
        <v>54.683113064516192</v>
      </c>
      <c r="I135" s="103">
        <f>-(OBLICZENIA!I9-OBLICZENIA!I7)-OBLICZENIA!I16</f>
        <v>54.683113064516192</v>
      </c>
      <c r="J135" s="103">
        <f>-(OBLICZENIA!J9-OBLICZENIA!J7)-OBLICZENIA!J16</f>
        <v>54.683113064516192</v>
      </c>
      <c r="K135" s="103">
        <f>-(OBLICZENIA!K9-OBLICZENIA!K7)-OBLICZENIA!K16</f>
        <v>87.492980903225543</v>
      </c>
      <c r="L135" s="103">
        <f>-(OBLICZENIA!L9-OBLICZENIA!L7)-OBLICZENIA!L16</f>
        <v>87.492980903225543</v>
      </c>
      <c r="M135" s="103">
        <f>-(OBLICZENIA!M9-OBLICZENIA!M7)-OBLICZENIA!M16</f>
        <v>87.492980903225543</v>
      </c>
      <c r="N135" s="103">
        <f>-(OBLICZENIA!N9-OBLICZENIA!N7)-OBLICZENIA!N16</f>
        <v>-912.50701909677446</v>
      </c>
      <c r="O135" s="103">
        <f>-(OBLICZENIA!O9-OBLICZENIA!O7)-OBLICZENIA!O16</f>
        <v>87.492980903225543</v>
      </c>
      <c r="P135" s="103">
        <f>-(OBLICZENIA!P9-OBLICZENIA!P7)-OBLICZENIA!P16</f>
        <v>-1412.5070190967745</v>
      </c>
      <c r="Q135" s="103">
        <f>-(OBLICZENIA!Q9-OBLICZENIA!Q7)-OBLICZENIA!Q16</f>
        <v>87.492980903225543</v>
      </c>
      <c r="R135" s="103">
        <f>-(OBLICZENIA!R9-OBLICZENIA!R7)-OBLICZENIA!R16</f>
        <v>87.492980903225543</v>
      </c>
      <c r="S135" s="103">
        <f>-(OBLICZENIA!S9-OBLICZENIA!S7)-OBLICZENIA!S16</f>
        <v>-1412.5070190967745</v>
      </c>
    </row>
    <row r="136" spans="2:19">
      <c r="B136" s="1" t="s">
        <v>229</v>
      </c>
      <c r="C136" s="54" t="s">
        <v>55</v>
      </c>
      <c r="D136" s="108">
        <f>D135*$C$6</f>
        <v>0</v>
      </c>
      <c r="E136" s="108">
        <f t="shared" ref="E136:S136" si="117">E135*$C$6</f>
        <v>0</v>
      </c>
      <c r="F136" s="108">
        <f t="shared" si="117"/>
        <v>17.061131276128982</v>
      </c>
      <c r="G136" s="108">
        <f t="shared" si="117"/>
        <v>17.061131276128982</v>
      </c>
      <c r="H136" s="108">
        <f t="shared" si="117"/>
        <v>42.65282819032263</v>
      </c>
      <c r="I136" s="108">
        <f t="shared" si="117"/>
        <v>42.65282819032263</v>
      </c>
      <c r="J136" s="108">
        <f t="shared" si="117"/>
        <v>42.65282819032263</v>
      </c>
      <c r="K136" s="108">
        <f t="shared" si="117"/>
        <v>68.24452510451593</v>
      </c>
      <c r="L136" s="108">
        <f t="shared" si="117"/>
        <v>68.24452510451593</v>
      </c>
      <c r="M136" s="108">
        <f t="shared" si="117"/>
        <v>68.24452510451593</v>
      </c>
      <c r="N136" s="108">
        <f t="shared" si="117"/>
        <v>-711.7554748954841</v>
      </c>
      <c r="O136" s="108">
        <f t="shared" si="117"/>
        <v>68.24452510451593</v>
      </c>
      <c r="P136" s="108">
        <f t="shared" si="117"/>
        <v>-1101.7554748954842</v>
      </c>
      <c r="Q136" s="108">
        <f t="shared" si="117"/>
        <v>68.24452510451593</v>
      </c>
      <c r="R136" s="108">
        <f t="shared" si="117"/>
        <v>68.24452510451593</v>
      </c>
      <c r="S136" s="108">
        <f t="shared" si="117"/>
        <v>-1101.7554748954842</v>
      </c>
    </row>
    <row r="137" spans="2:19">
      <c r="B137" s="1" t="s">
        <v>230</v>
      </c>
      <c r="C137" s="54" t="s">
        <v>55</v>
      </c>
      <c r="D137" s="103">
        <f>D98</f>
        <v>0</v>
      </c>
      <c r="E137" s="103">
        <f t="shared" ref="E137:S137" si="118">E98</f>
        <v>0</v>
      </c>
      <c r="F137" s="103">
        <f t="shared" si="118"/>
        <v>-23.765181512290567</v>
      </c>
      <c r="G137" s="103">
        <f t="shared" si="118"/>
        <v>-24.437561582834572</v>
      </c>
      <c r="H137" s="103">
        <f t="shared" si="118"/>
        <v>-62.80943822961585</v>
      </c>
      <c r="I137" s="103">
        <f t="shared" si="118"/>
        <v>-64.56093526989423</v>
      </c>
      <c r="J137" s="103">
        <f t="shared" si="118"/>
        <v>-66.320824551144725</v>
      </c>
      <c r="K137" s="103">
        <f t="shared" si="118"/>
        <v>-108.94067444300626</v>
      </c>
      <c r="L137" s="103">
        <f t="shared" si="118"/>
        <v>-111.72826114981957</v>
      </c>
      <c r="M137" s="103">
        <f t="shared" si="118"/>
        <v>-114.46971446333265</v>
      </c>
      <c r="N137" s="103">
        <f t="shared" si="118"/>
        <v>-117.21192600136557</v>
      </c>
      <c r="O137" s="103">
        <f t="shared" si="118"/>
        <v>-119.95215760061305</v>
      </c>
      <c r="P137" s="103">
        <f t="shared" si="118"/>
        <v>-122.68747185279378</v>
      </c>
      <c r="Q137" s="103">
        <f t="shared" si="118"/>
        <v>-125.41469916049338</v>
      </c>
      <c r="R137" s="103">
        <f t="shared" si="118"/>
        <v>-128.18742659717751</v>
      </c>
      <c r="S137" s="103">
        <f t="shared" si="118"/>
        <v>-130.94857384217468</v>
      </c>
    </row>
    <row r="138" spans="2:19">
      <c r="B138" s="1" t="s">
        <v>231</v>
      </c>
      <c r="C138" s="54" t="s">
        <v>55</v>
      </c>
      <c r="D138" s="103">
        <f>D134+D137</f>
        <v>0</v>
      </c>
      <c r="E138" s="103">
        <f t="shared" ref="E138:S138" si="119">E134+E137</f>
        <v>0</v>
      </c>
      <c r="F138" s="103">
        <f t="shared" si="119"/>
        <v>-23.765181512290567</v>
      </c>
      <c r="G138" s="103">
        <f t="shared" si="119"/>
        <v>-24.437561582834572</v>
      </c>
      <c r="H138" s="103">
        <f t="shared" si="119"/>
        <v>-62.80943822961585</v>
      </c>
      <c r="I138" s="103">
        <f t="shared" si="119"/>
        <v>-64.56093526989423</v>
      </c>
      <c r="J138" s="103">
        <f t="shared" si="119"/>
        <v>-66.320824551144725</v>
      </c>
      <c r="K138" s="103">
        <f t="shared" si="119"/>
        <v>-108.94067444300626</v>
      </c>
      <c r="L138" s="103">
        <f t="shared" si="119"/>
        <v>-111.72826114981957</v>
      </c>
      <c r="M138" s="103">
        <f t="shared" si="119"/>
        <v>-114.46971446333265</v>
      </c>
      <c r="N138" s="103">
        <f t="shared" si="119"/>
        <v>-117.21192600136557</v>
      </c>
      <c r="O138" s="103">
        <f t="shared" si="119"/>
        <v>-119.95215760061305</v>
      </c>
      <c r="P138" s="103">
        <f t="shared" si="119"/>
        <v>-122.68747185279378</v>
      </c>
      <c r="Q138" s="103">
        <f t="shared" si="119"/>
        <v>-125.41469916049338</v>
      </c>
      <c r="R138" s="103">
        <f t="shared" si="119"/>
        <v>-128.18742659717751</v>
      </c>
      <c r="S138" s="103">
        <f t="shared" si="119"/>
        <v>-130.94857384217468</v>
      </c>
    </row>
    <row r="139" spans="2:19">
      <c r="B139" s="1" t="s">
        <v>232</v>
      </c>
      <c r="C139" s="54" t="s">
        <v>55</v>
      </c>
      <c r="D139" s="103">
        <f>D133+D136</f>
        <v>0</v>
      </c>
      <c r="E139" s="103">
        <f t="shared" ref="E139:S139" si="120">E133+E136</f>
        <v>-4161.8</v>
      </c>
      <c r="F139" s="103">
        <f t="shared" si="120"/>
        <v>17.061131276128982</v>
      </c>
      <c r="G139" s="103">
        <f t="shared" si="120"/>
        <v>-4424.538868723871</v>
      </c>
      <c r="H139" s="103">
        <f t="shared" si="120"/>
        <v>42.65282819032263</v>
      </c>
      <c r="I139" s="103">
        <f t="shared" si="120"/>
        <v>42.65282819032263</v>
      </c>
      <c r="J139" s="103">
        <f t="shared" si="120"/>
        <v>-4398.9471718096775</v>
      </c>
      <c r="K139" s="103">
        <f t="shared" si="120"/>
        <v>68.24452510451593</v>
      </c>
      <c r="L139" s="103">
        <f t="shared" si="120"/>
        <v>68.24452510451593</v>
      </c>
      <c r="M139" s="103">
        <f t="shared" si="120"/>
        <v>68.24452510451593</v>
      </c>
      <c r="N139" s="103">
        <f t="shared" si="120"/>
        <v>-711.7554748954841</v>
      </c>
      <c r="O139" s="103">
        <f t="shared" si="120"/>
        <v>68.24452510451593</v>
      </c>
      <c r="P139" s="103">
        <f t="shared" si="120"/>
        <v>-1101.7554748954842</v>
      </c>
      <c r="Q139" s="103">
        <f t="shared" si="120"/>
        <v>68.24452510451593</v>
      </c>
      <c r="R139" s="103">
        <f t="shared" si="120"/>
        <v>68.24452510451593</v>
      </c>
      <c r="S139" s="103">
        <f t="shared" si="120"/>
        <v>-1101.7554748954842</v>
      </c>
    </row>
    <row r="140" spans="2:19">
      <c r="B140" s="1" t="s">
        <v>233</v>
      </c>
      <c r="C140" s="54" t="s">
        <v>55</v>
      </c>
      <c r="D140" s="103">
        <f>D138+D139</f>
        <v>0</v>
      </c>
      <c r="E140" s="103">
        <f t="shared" ref="E140:S140" si="121">E138+E139</f>
        <v>-4161.8</v>
      </c>
      <c r="F140" s="103">
        <f t="shared" si="121"/>
        <v>-6.704050236161585</v>
      </c>
      <c r="G140" s="103">
        <f t="shared" si="121"/>
        <v>-4448.9764303067059</v>
      </c>
      <c r="H140" s="103">
        <f t="shared" si="121"/>
        <v>-20.15661003929322</v>
      </c>
      <c r="I140" s="103">
        <f t="shared" si="121"/>
        <v>-21.9081070795716</v>
      </c>
      <c r="J140" s="103">
        <f t="shared" si="121"/>
        <v>-4465.2679963608225</v>
      </c>
      <c r="K140" s="103">
        <f t="shared" si="121"/>
        <v>-40.696149338490329</v>
      </c>
      <c r="L140" s="103">
        <f t="shared" si="121"/>
        <v>-43.483736045303644</v>
      </c>
      <c r="M140" s="103">
        <f t="shared" si="121"/>
        <v>-46.225189358816721</v>
      </c>
      <c r="N140" s="103">
        <f t="shared" si="121"/>
        <v>-828.96740089684965</v>
      </c>
      <c r="O140" s="103">
        <f t="shared" si="121"/>
        <v>-51.707632496097119</v>
      </c>
      <c r="P140" s="103">
        <f t="shared" si="121"/>
        <v>-1224.442946748278</v>
      </c>
      <c r="Q140" s="103">
        <f t="shared" si="121"/>
        <v>-57.170174055977455</v>
      </c>
      <c r="R140" s="103">
        <f t="shared" si="121"/>
        <v>-59.942901492661576</v>
      </c>
      <c r="S140" s="103">
        <f t="shared" si="121"/>
        <v>-1232.7040487376589</v>
      </c>
    </row>
    <row r="141" spans="2:19">
      <c r="B141" s="113" t="s">
        <v>222</v>
      </c>
      <c r="C141" s="130"/>
      <c r="D141" s="131">
        <f>ZAŁOŻENIA!D189</f>
        <v>4.4999999999999998E-2</v>
      </c>
    </row>
    <row r="142" spans="2:19">
      <c r="B142" s="126" t="s">
        <v>234</v>
      </c>
      <c r="C142" s="127" t="s">
        <v>55</v>
      </c>
      <c r="D142" s="128">
        <f>NPV(D141,E140:S140)+D140</f>
        <v>-13431.533135356063</v>
      </c>
    </row>
    <row r="143" spans="2:19">
      <c r="B143" s="126" t="s">
        <v>235</v>
      </c>
      <c r="C143" s="126"/>
      <c r="D143" s="129" t="e">
        <f>IRR(D140:S140,-30%)</f>
        <v>#NUM!</v>
      </c>
    </row>
    <row r="144" spans="2:19">
      <c r="B144" s="126" t="s">
        <v>236</v>
      </c>
      <c r="C144" s="126"/>
      <c r="D144" s="125">
        <f>(NPV(D141,E138:S138)+D138)/(NPV(D141,E139:S139)+D139)</f>
        <v>6.871548288991064E-2</v>
      </c>
    </row>
    <row r="146" spans="2:19">
      <c r="B146" s="97"/>
    </row>
    <row r="147" spans="2:19">
      <c r="B147" s="97" t="s">
        <v>162</v>
      </c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 ht="13.5" thickBot="1">
      <c r="B148" s="84" t="s">
        <v>1</v>
      </c>
      <c r="C148" s="84" t="s">
        <v>25</v>
      </c>
      <c r="D148" s="84">
        <v>2021</v>
      </c>
      <c r="E148" s="84">
        <f>D148+1</f>
        <v>2022</v>
      </c>
      <c r="F148" s="84">
        <f t="shared" ref="F148:S148" si="122">E148+1</f>
        <v>2023</v>
      </c>
      <c r="G148" s="84">
        <f t="shared" si="122"/>
        <v>2024</v>
      </c>
      <c r="H148" s="84">
        <f t="shared" si="122"/>
        <v>2025</v>
      </c>
      <c r="I148" s="84">
        <f t="shared" si="122"/>
        <v>2026</v>
      </c>
      <c r="J148" s="84">
        <f t="shared" si="122"/>
        <v>2027</v>
      </c>
      <c r="K148" s="84">
        <f t="shared" si="122"/>
        <v>2028</v>
      </c>
      <c r="L148" s="84">
        <f t="shared" si="122"/>
        <v>2029</v>
      </c>
      <c r="M148" s="84">
        <f t="shared" si="122"/>
        <v>2030</v>
      </c>
      <c r="N148" s="84">
        <f t="shared" si="122"/>
        <v>2031</v>
      </c>
      <c r="O148" s="84">
        <f t="shared" si="122"/>
        <v>2032</v>
      </c>
      <c r="P148" s="84">
        <f t="shared" si="122"/>
        <v>2033</v>
      </c>
      <c r="Q148" s="84">
        <f t="shared" si="122"/>
        <v>2034</v>
      </c>
      <c r="R148" s="84">
        <f t="shared" si="122"/>
        <v>2035</v>
      </c>
      <c r="S148" s="84">
        <f t="shared" si="122"/>
        <v>2036</v>
      </c>
    </row>
    <row r="149" spans="2:19" ht="13.5" thickTop="1">
      <c r="B149" s="1" t="s">
        <v>226</v>
      </c>
      <c r="C149" s="54" t="s">
        <v>55</v>
      </c>
      <c r="D149" s="103">
        <f>-(D27-D14)</f>
        <v>0</v>
      </c>
      <c r="E149" s="103">
        <f t="shared" ref="E149:K149" si="123">-(E27-E14)</f>
        <v>-12824</v>
      </c>
      <c r="F149" s="103">
        <f t="shared" si="123"/>
        <v>0</v>
      </c>
      <c r="G149" s="103">
        <f t="shared" si="123"/>
        <v>-6786</v>
      </c>
      <c r="H149" s="103">
        <f t="shared" si="123"/>
        <v>0</v>
      </c>
      <c r="I149" s="103">
        <f t="shared" si="123"/>
        <v>0</v>
      </c>
      <c r="J149" s="103">
        <f t="shared" si="123"/>
        <v>-6786</v>
      </c>
      <c r="K149" s="103">
        <f t="shared" si="123"/>
        <v>0</v>
      </c>
    </row>
    <row r="150" spans="2:19">
      <c r="B150" s="1" t="s">
        <v>227</v>
      </c>
      <c r="C150" s="54" t="s">
        <v>55</v>
      </c>
      <c r="S150" s="103">
        <f>OBLICZENIA!S124</f>
        <v>0</v>
      </c>
    </row>
    <row r="151" spans="2:19">
      <c r="B151" s="1" t="s">
        <v>228</v>
      </c>
      <c r="C151" s="54" t="s">
        <v>55</v>
      </c>
      <c r="D151" s="103">
        <f>-(OBLICZENIA!D11-OBLICZENIA!D7)</f>
        <v>0</v>
      </c>
      <c r="E151" s="103">
        <f>-(OBLICZENIA!E11-OBLICZENIA!E7)</f>
        <v>0</v>
      </c>
      <c r="F151" s="103">
        <f>-(OBLICZENIA!F11-OBLICZENIA!F7)</f>
        <v>-170.32654323870975</v>
      </c>
      <c r="G151" s="103">
        <f>-(OBLICZENIA!G11-OBLICZENIA!G7)</f>
        <v>-170.32654323870975</v>
      </c>
      <c r="H151" s="103">
        <f>-(OBLICZENIA!H11-OBLICZENIA!H7)</f>
        <v>-425.81635809677437</v>
      </c>
      <c r="I151" s="103">
        <f>-(OBLICZENIA!I11-OBLICZENIA!I7)</f>
        <v>-425.81635809677437</v>
      </c>
      <c r="J151" s="103">
        <f>-(OBLICZENIA!J11-OBLICZENIA!J7)</f>
        <v>-425.81635809677437</v>
      </c>
      <c r="K151" s="103">
        <f>-(OBLICZENIA!K11-OBLICZENIA!K7)</f>
        <v>-681.30617295483898</v>
      </c>
      <c r="L151" s="103">
        <f>-(OBLICZENIA!L11-OBLICZENIA!L7)</f>
        <v>-681.30617295483898</v>
      </c>
      <c r="M151" s="103">
        <f>-(OBLICZENIA!M11-OBLICZENIA!M7)</f>
        <v>-681.30617295483898</v>
      </c>
      <c r="N151" s="103">
        <f>-(OBLICZENIA!N11-OBLICZENIA!N7)</f>
        <v>-681.30617295483898</v>
      </c>
      <c r="O151" s="103">
        <f>-(OBLICZENIA!O11-OBLICZENIA!O7)</f>
        <v>-681.30617295483898</v>
      </c>
      <c r="P151" s="103">
        <f>-(OBLICZENIA!P11-OBLICZENIA!P7)</f>
        <v>-681.30617295483898</v>
      </c>
      <c r="Q151" s="103">
        <f>-(OBLICZENIA!Q11-OBLICZENIA!Q7)</f>
        <v>-681.30617295483898</v>
      </c>
      <c r="R151" s="103">
        <f>-(OBLICZENIA!R11-OBLICZENIA!R7)</f>
        <v>-681.30617295483898</v>
      </c>
      <c r="S151" s="103">
        <f>-(OBLICZENIA!S11-OBLICZENIA!S7)</f>
        <v>-681.30617295483898</v>
      </c>
    </row>
    <row r="152" spans="2:19">
      <c r="B152" s="1" t="s">
        <v>229</v>
      </c>
      <c r="C152" s="54" t="s">
        <v>55</v>
      </c>
      <c r="D152" s="108">
        <f>D151*$C$6</f>
        <v>0</v>
      </c>
      <c r="E152" s="108">
        <f t="shared" ref="E152" si="124">E151*$C$6</f>
        <v>0</v>
      </c>
      <c r="F152" s="108">
        <f t="shared" ref="F152" si="125">F151*$C$6</f>
        <v>-132.85470372619361</v>
      </c>
      <c r="G152" s="108">
        <f t="shared" ref="G152" si="126">G151*$C$6</f>
        <v>-132.85470372619361</v>
      </c>
      <c r="H152" s="108">
        <f t="shared" ref="H152" si="127">H151*$C$6</f>
        <v>-332.13675931548403</v>
      </c>
      <c r="I152" s="108">
        <f t="shared" ref="I152" si="128">I151*$C$6</f>
        <v>-332.13675931548403</v>
      </c>
      <c r="J152" s="108">
        <f t="shared" ref="J152" si="129">J151*$C$6</f>
        <v>-332.13675931548403</v>
      </c>
      <c r="K152" s="108">
        <f t="shared" ref="K152" si="130">K151*$C$6</f>
        <v>-531.41881490477442</v>
      </c>
      <c r="L152" s="108">
        <f t="shared" ref="L152" si="131">L151*$C$6</f>
        <v>-531.41881490477442</v>
      </c>
      <c r="M152" s="108">
        <f t="shared" ref="M152" si="132">M151*$C$6</f>
        <v>-531.41881490477442</v>
      </c>
      <c r="N152" s="108">
        <f t="shared" ref="N152" si="133">N151*$C$6</f>
        <v>-531.41881490477442</v>
      </c>
      <c r="O152" s="108">
        <f t="shared" ref="O152" si="134">O151*$C$6</f>
        <v>-531.41881490477442</v>
      </c>
      <c r="P152" s="108">
        <f t="shared" ref="P152" si="135">P151*$C$6</f>
        <v>-531.41881490477442</v>
      </c>
      <c r="Q152" s="108">
        <f t="shared" ref="Q152" si="136">Q151*$C$6</f>
        <v>-531.41881490477442</v>
      </c>
      <c r="R152" s="108">
        <f t="shared" ref="R152" si="137">R151*$C$6</f>
        <v>-531.41881490477442</v>
      </c>
      <c r="S152" s="108">
        <f t="shared" ref="S152" si="138">S151*$C$6</f>
        <v>-531.41881490477442</v>
      </c>
    </row>
    <row r="153" spans="2:19">
      <c r="B153" s="1" t="s">
        <v>230</v>
      </c>
      <c r="C153" s="54" t="s">
        <v>55</v>
      </c>
      <c r="D153" s="103">
        <f>D106</f>
        <v>0</v>
      </c>
      <c r="E153" s="103">
        <f t="shared" ref="E153:S153" si="139">E106</f>
        <v>0</v>
      </c>
      <c r="F153" s="103">
        <f t="shared" si="139"/>
        <v>5.6447020250623146</v>
      </c>
      <c r="G153" s="103">
        <f t="shared" si="139"/>
        <v>5.8132870633011819</v>
      </c>
      <c r="H153" s="103">
        <f t="shared" si="139"/>
        <v>14.969432609102515</v>
      </c>
      <c r="I153" s="103">
        <f t="shared" si="139"/>
        <v>15.42098800785895</v>
      </c>
      <c r="J153" s="103">
        <f t="shared" si="139"/>
        <v>15.876123240524525</v>
      </c>
      <c r="K153" s="103">
        <f t="shared" si="139"/>
        <v>26.134932834175508</v>
      </c>
      <c r="L153" s="103">
        <f t="shared" si="139"/>
        <v>26.851104663965788</v>
      </c>
      <c r="M153" s="103">
        <f t="shared" si="139"/>
        <v>27.547597615822408</v>
      </c>
      <c r="N153" s="103">
        <f t="shared" si="139"/>
        <v>28.244413999508009</v>
      </c>
      <c r="O153" s="103">
        <f t="shared" si="139"/>
        <v>28.940385811162624</v>
      </c>
      <c r="P153" s="103">
        <f t="shared" si="139"/>
        <v>29.634260056049218</v>
      </c>
      <c r="Q153" s="103">
        <f t="shared" si="139"/>
        <v>30.324684695738437</v>
      </c>
      <c r="R153" s="103">
        <f t="shared" si="139"/>
        <v>31.034518085146637</v>
      </c>
      <c r="S153" s="103">
        <f t="shared" si="139"/>
        <v>31.73941177334596</v>
      </c>
    </row>
    <row r="154" spans="2:19">
      <c r="B154" s="1" t="s">
        <v>231</v>
      </c>
      <c r="C154" s="54" t="s">
        <v>55</v>
      </c>
      <c r="D154" s="103">
        <f>D150+D153</f>
        <v>0</v>
      </c>
      <c r="E154" s="103">
        <f t="shared" ref="E154" si="140">E150+E153</f>
        <v>0</v>
      </c>
      <c r="F154" s="103">
        <f t="shared" ref="F154" si="141">F150+F153</f>
        <v>5.6447020250623146</v>
      </c>
      <c r="G154" s="103">
        <f t="shared" ref="G154" si="142">G150+G153</f>
        <v>5.8132870633011819</v>
      </c>
      <c r="H154" s="103">
        <f t="shared" ref="H154" si="143">H150+H153</f>
        <v>14.969432609102515</v>
      </c>
      <c r="I154" s="103">
        <f t="shared" ref="I154" si="144">I150+I153</f>
        <v>15.42098800785895</v>
      </c>
      <c r="J154" s="103">
        <f t="shared" ref="J154" si="145">J150+J153</f>
        <v>15.876123240524525</v>
      </c>
      <c r="K154" s="103">
        <f t="shared" ref="K154" si="146">K150+K153</f>
        <v>26.134932834175508</v>
      </c>
      <c r="L154" s="103">
        <f t="shared" ref="L154" si="147">L150+L153</f>
        <v>26.851104663965788</v>
      </c>
      <c r="M154" s="103">
        <f t="shared" ref="M154" si="148">M150+M153</f>
        <v>27.547597615822408</v>
      </c>
      <c r="N154" s="103">
        <f t="shared" ref="N154" si="149">N150+N153</f>
        <v>28.244413999508009</v>
      </c>
      <c r="O154" s="103">
        <f t="shared" ref="O154" si="150">O150+O153</f>
        <v>28.940385811162624</v>
      </c>
      <c r="P154" s="103">
        <f t="shared" ref="P154" si="151">P150+P153</f>
        <v>29.634260056049218</v>
      </c>
      <c r="Q154" s="103">
        <f t="shared" ref="Q154" si="152">Q150+Q153</f>
        <v>30.324684695738437</v>
      </c>
      <c r="R154" s="103">
        <f t="shared" ref="R154" si="153">R150+R153</f>
        <v>31.034518085146637</v>
      </c>
      <c r="S154" s="103">
        <f t="shared" ref="S154" si="154">S150+S153</f>
        <v>31.73941177334596</v>
      </c>
    </row>
    <row r="155" spans="2:19">
      <c r="B155" s="1" t="s">
        <v>232</v>
      </c>
      <c r="C155" s="54" t="s">
        <v>55</v>
      </c>
      <c r="D155" s="103">
        <f>D149+D152</f>
        <v>0</v>
      </c>
      <c r="E155" s="103">
        <f t="shared" ref="E155:S155" si="155">E149+E152</f>
        <v>-12824</v>
      </c>
      <c r="F155" s="103">
        <f t="shared" si="155"/>
        <v>-132.85470372619361</v>
      </c>
      <c r="G155" s="103">
        <f t="shared" si="155"/>
        <v>-6918.8547037261933</v>
      </c>
      <c r="H155" s="103">
        <f t="shared" si="155"/>
        <v>-332.13675931548403</v>
      </c>
      <c r="I155" s="103">
        <f t="shared" si="155"/>
        <v>-332.13675931548403</v>
      </c>
      <c r="J155" s="103">
        <f t="shared" si="155"/>
        <v>-7118.1367593154837</v>
      </c>
      <c r="K155" s="103">
        <f t="shared" si="155"/>
        <v>-531.41881490477442</v>
      </c>
      <c r="L155" s="103">
        <f t="shared" si="155"/>
        <v>-531.41881490477442</v>
      </c>
      <c r="M155" s="103">
        <f t="shared" si="155"/>
        <v>-531.41881490477442</v>
      </c>
      <c r="N155" s="103">
        <f t="shared" si="155"/>
        <v>-531.41881490477442</v>
      </c>
      <c r="O155" s="103">
        <f t="shared" si="155"/>
        <v>-531.41881490477442</v>
      </c>
      <c r="P155" s="103">
        <f t="shared" si="155"/>
        <v>-531.41881490477442</v>
      </c>
      <c r="Q155" s="103">
        <f t="shared" si="155"/>
        <v>-531.41881490477442</v>
      </c>
      <c r="R155" s="103">
        <f t="shared" si="155"/>
        <v>-531.41881490477442</v>
      </c>
      <c r="S155" s="103">
        <f t="shared" si="155"/>
        <v>-531.41881490477442</v>
      </c>
    </row>
    <row r="156" spans="2:19">
      <c r="B156" s="1" t="s">
        <v>233</v>
      </c>
      <c r="C156" s="54" t="s">
        <v>55</v>
      </c>
      <c r="D156" s="103">
        <f>D154+D155</f>
        <v>0</v>
      </c>
      <c r="E156" s="103">
        <f t="shared" ref="E156" si="156">E154+E155</f>
        <v>-12824</v>
      </c>
      <c r="F156" s="103">
        <f t="shared" ref="F156" si="157">F154+F155</f>
        <v>-127.21000170113129</v>
      </c>
      <c r="G156" s="103">
        <f t="shared" ref="G156" si="158">G154+G155</f>
        <v>-6913.0414166628925</v>
      </c>
      <c r="H156" s="103">
        <f t="shared" ref="H156" si="159">H154+H155</f>
        <v>-317.16732670638152</v>
      </c>
      <c r="I156" s="103">
        <f t="shared" ref="I156" si="160">I154+I155</f>
        <v>-316.71577130762506</v>
      </c>
      <c r="J156" s="103">
        <f t="shared" ref="J156" si="161">J154+J155</f>
        <v>-7102.2606360749587</v>
      </c>
      <c r="K156" s="103">
        <f t="shared" ref="K156" si="162">K154+K155</f>
        <v>-505.28388207059891</v>
      </c>
      <c r="L156" s="103">
        <f t="shared" ref="L156" si="163">L154+L155</f>
        <v>-504.56771024080865</v>
      </c>
      <c r="M156" s="103">
        <f t="shared" ref="M156" si="164">M154+M155</f>
        <v>-503.87121728895204</v>
      </c>
      <c r="N156" s="103">
        <f t="shared" ref="N156" si="165">N154+N155</f>
        <v>-503.1744009052664</v>
      </c>
      <c r="O156" s="103">
        <f t="shared" ref="O156" si="166">O154+O155</f>
        <v>-502.47842909361179</v>
      </c>
      <c r="P156" s="103">
        <f t="shared" ref="P156" si="167">P154+P155</f>
        <v>-501.78455484872518</v>
      </c>
      <c r="Q156" s="103">
        <f t="shared" ref="Q156" si="168">Q154+Q155</f>
        <v>-501.094130209036</v>
      </c>
      <c r="R156" s="103">
        <f t="shared" ref="R156" si="169">R154+R155</f>
        <v>-500.38429681962776</v>
      </c>
      <c r="S156" s="103">
        <f t="shared" ref="S156" si="170">S154+S155</f>
        <v>-499.67940313142844</v>
      </c>
    </row>
    <row r="157" spans="2:19">
      <c r="B157" s="113" t="s">
        <v>222</v>
      </c>
      <c r="C157" s="130"/>
      <c r="D157" s="131">
        <f>ZAŁOŻENIA!D189</f>
        <v>4.4999999999999998E-2</v>
      </c>
    </row>
    <row r="158" spans="2:19">
      <c r="B158" s="126" t="s">
        <v>234</v>
      </c>
      <c r="C158" s="127" t="s">
        <v>55</v>
      </c>
      <c r="D158" s="128">
        <f>NPV(D157,E156:S156)+D156</f>
        <v>-27225.862985465155</v>
      </c>
    </row>
    <row r="159" spans="2:19">
      <c r="B159" s="126" t="s">
        <v>235</v>
      </c>
      <c r="C159" s="126"/>
      <c r="D159" s="129" t="e">
        <f>IRR(D156:S156,-90%)</f>
        <v>#NUM!</v>
      </c>
    </row>
    <row r="160" spans="2:19">
      <c r="B160" s="126" t="s">
        <v>236</v>
      </c>
      <c r="C160" s="126"/>
      <c r="D160" s="125">
        <f>(NPV(D157,E154:S154)+D154)/(NPV(D157,E155:S155)+D155)</f>
        <v>-7.5735091263268804E-3</v>
      </c>
    </row>
    <row r="162" spans="2:2">
      <c r="B162" s="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F7A8-0D1C-43F5-800E-A5349F6FC2A6}">
  <dimension ref="B2:S27"/>
  <sheetViews>
    <sheetView topLeftCell="A2" workbookViewId="0">
      <selection activeCell="B17" sqref="B17:S23"/>
    </sheetView>
  </sheetViews>
  <sheetFormatPr defaultRowHeight="12.75"/>
  <cols>
    <col min="1" max="1" width="9.140625" style="1"/>
    <col min="2" max="2" width="32.140625" style="1" customWidth="1"/>
    <col min="3" max="16384" width="9.140625" style="1"/>
  </cols>
  <sheetData>
    <row r="2" spans="2:19" s="95" customFormat="1">
      <c r="B2" s="96" t="s">
        <v>237</v>
      </c>
    </row>
    <row r="5" spans="2:19">
      <c r="B5" s="97" t="s">
        <v>161</v>
      </c>
    </row>
    <row r="6" spans="2:19" ht="13.5" thickBot="1">
      <c r="B6" s="84" t="s">
        <v>1</v>
      </c>
      <c r="C6" s="84" t="s">
        <v>25</v>
      </c>
      <c r="D6" s="84">
        <v>2021</v>
      </c>
      <c r="E6" s="84">
        <f>D6+1</f>
        <v>2022</v>
      </c>
      <c r="F6" s="84">
        <f t="shared" ref="F6:S6" si="0">E6+1</f>
        <v>2023</v>
      </c>
      <c r="G6" s="84">
        <f t="shared" si="0"/>
        <v>2024</v>
      </c>
      <c r="H6" s="84">
        <f t="shared" si="0"/>
        <v>2025</v>
      </c>
      <c r="I6" s="84">
        <f t="shared" si="0"/>
        <v>2026</v>
      </c>
      <c r="J6" s="84">
        <f t="shared" si="0"/>
        <v>2027</v>
      </c>
      <c r="K6" s="84">
        <f t="shared" si="0"/>
        <v>2028</v>
      </c>
      <c r="L6" s="84">
        <f t="shared" si="0"/>
        <v>2029</v>
      </c>
      <c r="M6" s="84">
        <f t="shared" si="0"/>
        <v>2030</v>
      </c>
      <c r="N6" s="84">
        <f t="shared" si="0"/>
        <v>2031</v>
      </c>
      <c r="O6" s="84">
        <f t="shared" si="0"/>
        <v>2032</v>
      </c>
      <c r="P6" s="84">
        <f t="shared" si="0"/>
        <v>2033</v>
      </c>
      <c r="Q6" s="84">
        <f t="shared" si="0"/>
        <v>2034</v>
      </c>
      <c r="R6" s="84">
        <f t="shared" si="0"/>
        <v>2035</v>
      </c>
      <c r="S6" s="84">
        <f t="shared" si="0"/>
        <v>2036</v>
      </c>
    </row>
    <row r="7" spans="2:19" ht="13.5" thickTop="1">
      <c r="B7" s="1" t="s">
        <v>241</v>
      </c>
      <c r="C7" s="1" t="s">
        <v>183</v>
      </c>
      <c r="D7" s="103">
        <f>-(ZAŁOŻENIA!D138-ZAŁOŻENIA!D127)</f>
        <v>0</v>
      </c>
      <c r="E7" s="103">
        <f>-(ZAŁOŻENIA!E138-ZAŁOŻENIA!E127)</f>
        <v>-4860</v>
      </c>
      <c r="F7" s="103">
        <f>-(ZAŁOŻENIA!F138-ZAŁOŻENIA!F127)</f>
        <v>0</v>
      </c>
      <c r="G7" s="103">
        <f>-(ZAŁOŻENIA!G138-ZAŁOŻENIA!G127)</f>
        <v>-5120</v>
      </c>
      <c r="H7" s="103">
        <f>-(ZAŁOŻENIA!H138-ZAŁOŻENIA!H127)</f>
        <v>0</v>
      </c>
      <c r="I7" s="103">
        <f>-(ZAŁOŻENIA!I138-ZAŁOŻENIA!I127)</f>
        <v>0</v>
      </c>
      <c r="J7" s="103">
        <f>-(ZAŁOŻENIA!J138-ZAŁOŻENIA!J127)</f>
        <v>-5120</v>
      </c>
      <c r="K7" s="103">
        <f>-(ZAŁOŻENIA!K138-ZAŁOŻENIA!K127)</f>
        <v>0</v>
      </c>
    </row>
    <row r="8" spans="2:19">
      <c r="B8" s="1" t="s">
        <v>238</v>
      </c>
      <c r="C8" s="1" t="s">
        <v>183</v>
      </c>
    </row>
    <row r="9" spans="2:19">
      <c r="B9" s="1" t="s">
        <v>239</v>
      </c>
      <c r="C9" s="1" t="s">
        <v>183</v>
      </c>
      <c r="S9" s="103">
        <f>OBLICZENIA!S108</f>
        <v>0</v>
      </c>
    </row>
    <row r="10" spans="2:19">
      <c r="B10" s="1" t="s">
        <v>240</v>
      </c>
      <c r="C10" s="1" t="s">
        <v>183</v>
      </c>
      <c r="D10" s="103">
        <f>-(OBLICZENIA!D9-OBLICZENIA!D7)-OBLICZENIA!D16</f>
        <v>0</v>
      </c>
      <c r="E10" s="103">
        <f>-(OBLICZENIA!E9-OBLICZENIA!E7)-OBLICZENIA!E16</f>
        <v>0</v>
      </c>
      <c r="F10" s="103">
        <f>-(OBLICZENIA!F9-OBLICZENIA!F7)-OBLICZENIA!F16</f>
        <v>21.873245225806386</v>
      </c>
      <c r="G10" s="103">
        <f>-(OBLICZENIA!G9-OBLICZENIA!G7)-OBLICZENIA!G16</f>
        <v>21.873245225806386</v>
      </c>
      <c r="H10" s="103">
        <f>-(OBLICZENIA!H9-OBLICZENIA!H7)-OBLICZENIA!H16</f>
        <v>54.683113064516192</v>
      </c>
      <c r="I10" s="103">
        <f>-(OBLICZENIA!I9-OBLICZENIA!I7)-OBLICZENIA!I16</f>
        <v>54.683113064516192</v>
      </c>
      <c r="J10" s="103">
        <f>-(OBLICZENIA!J9-OBLICZENIA!J7)-OBLICZENIA!J16</f>
        <v>54.683113064516192</v>
      </c>
      <c r="K10" s="103">
        <f>-(OBLICZENIA!K9-OBLICZENIA!K7)-OBLICZENIA!K16</f>
        <v>87.492980903225543</v>
      </c>
      <c r="L10" s="103">
        <f>-(OBLICZENIA!L9-OBLICZENIA!L7)-OBLICZENIA!L16</f>
        <v>87.492980903225543</v>
      </c>
      <c r="M10" s="103">
        <f>-(OBLICZENIA!M9-OBLICZENIA!M7)-OBLICZENIA!M16</f>
        <v>87.492980903225543</v>
      </c>
      <c r="N10" s="103">
        <f>-(OBLICZENIA!N9-OBLICZENIA!N7)-OBLICZENIA!N16</f>
        <v>-912.50701909677446</v>
      </c>
      <c r="O10" s="103">
        <f>-(OBLICZENIA!O9-OBLICZENIA!O7)-OBLICZENIA!O16</f>
        <v>87.492980903225543</v>
      </c>
      <c r="P10" s="103">
        <f>-(OBLICZENIA!P9-OBLICZENIA!P7)-OBLICZENIA!P16</f>
        <v>-1412.5070190967745</v>
      </c>
      <c r="Q10" s="103">
        <f>-(OBLICZENIA!Q9-OBLICZENIA!Q7)-OBLICZENIA!Q16</f>
        <v>87.492980903225543</v>
      </c>
      <c r="R10" s="103">
        <f>-(OBLICZENIA!R9-OBLICZENIA!R7)-OBLICZENIA!R16</f>
        <v>87.492980903225543</v>
      </c>
      <c r="S10" s="103">
        <f>-(OBLICZENIA!S9-OBLICZENIA!S7)-OBLICZENIA!S16</f>
        <v>-1412.5070190967745</v>
      </c>
    </row>
    <row r="11" spans="2:19">
      <c r="B11" s="112" t="s">
        <v>242</v>
      </c>
      <c r="C11" s="112" t="s">
        <v>183</v>
      </c>
      <c r="D11" s="120">
        <f>SUM(D7,D8,D9,D10)</f>
        <v>0</v>
      </c>
      <c r="E11" s="120">
        <f t="shared" ref="E11:S11" si="1">SUM(E7,E8,E9,E10)</f>
        <v>-4860</v>
      </c>
      <c r="F11" s="120">
        <f t="shared" si="1"/>
        <v>21.873245225806386</v>
      </c>
      <c r="G11" s="120">
        <f t="shared" si="1"/>
        <v>-5098.1267547741936</v>
      </c>
      <c r="H11" s="120">
        <f t="shared" si="1"/>
        <v>54.683113064516192</v>
      </c>
      <c r="I11" s="120">
        <f t="shared" si="1"/>
        <v>54.683113064516192</v>
      </c>
      <c r="J11" s="120">
        <f t="shared" si="1"/>
        <v>-5065.316886935484</v>
      </c>
      <c r="K11" s="120">
        <f t="shared" si="1"/>
        <v>87.492980903225543</v>
      </c>
      <c r="L11" s="120">
        <f t="shared" si="1"/>
        <v>87.492980903225543</v>
      </c>
      <c r="M11" s="120">
        <f t="shared" si="1"/>
        <v>87.492980903225543</v>
      </c>
      <c r="N11" s="120">
        <f t="shared" si="1"/>
        <v>-912.50701909677446</v>
      </c>
      <c r="O11" s="120">
        <f t="shared" si="1"/>
        <v>87.492980903225543</v>
      </c>
      <c r="P11" s="120">
        <f t="shared" si="1"/>
        <v>-1412.5070190967745</v>
      </c>
      <c r="Q11" s="120">
        <f t="shared" si="1"/>
        <v>87.492980903225543</v>
      </c>
      <c r="R11" s="120">
        <f t="shared" si="1"/>
        <v>87.492980903225543</v>
      </c>
      <c r="S11" s="120">
        <f t="shared" si="1"/>
        <v>-1412.5070190967745</v>
      </c>
    </row>
    <row r="13" spans="2:19">
      <c r="B13" s="111" t="s">
        <v>222</v>
      </c>
      <c r="C13" s="111" t="s">
        <v>4</v>
      </c>
      <c r="D13" s="132">
        <f>ZAŁOŻENIA!D190</f>
        <v>0.04</v>
      </c>
    </row>
    <row r="14" spans="2:19">
      <c r="B14" s="111" t="s">
        <v>243</v>
      </c>
      <c r="C14" s="111" t="s">
        <v>183</v>
      </c>
      <c r="D14" s="124">
        <f>NPV(D13,E11:S11)+D11</f>
        <v>-15027.800443264936</v>
      </c>
    </row>
    <row r="15" spans="2:19">
      <c r="B15" s="111" t="s">
        <v>244</v>
      </c>
      <c r="C15" s="111"/>
      <c r="D15" s="133" t="e">
        <f>IRR(D11:S11,-0.9)</f>
        <v>#NUM!</v>
      </c>
    </row>
    <row r="17" spans="2:19">
      <c r="B17" s="97" t="s">
        <v>162</v>
      </c>
    </row>
    <row r="18" spans="2:19" ht="13.5" thickBot="1">
      <c r="B18" s="84" t="s">
        <v>1</v>
      </c>
      <c r="C18" s="84" t="s">
        <v>25</v>
      </c>
      <c r="D18" s="84">
        <v>2021</v>
      </c>
      <c r="E18" s="84">
        <f>D18+1</f>
        <v>2022</v>
      </c>
      <c r="F18" s="84">
        <f t="shared" ref="F18:S18" si="2">E18+1</f>
        <v>2023</v>
      </c>
      <c r="G18" s="84">
        <f t="shared" si="2"/>
        <v>2024</v>
      </c>
      <c r="H18" s="84">
        <f t="shared" si="2"/>
        <v>2025</v>
      </c>
      <c r="I18" s="84">
        <f t="shared" si="2"/>
        <v>2026</v>
      </c>
      <c r="J18" s="84">
        <f t="shared" si="2"/>
        <v>2027</v>
      </c>
      <c r="K18" s="84">
        <f t="shared" si="2"/>
        <v>2028</v>
      </c>
      <c r="L18" s="84">
        <f t="shared" si="2"/>
        <v>2029</v>
      </c>
      <c r="M18" s="84">
        <f t="shared" si="2"/>
        <v>2030</v>
      </c>
      <c r="N18" s="84">
        <f t="shared" si="2"/>
        <v>2031</v>
      </c>
      <c r="O18" s="84">
        <f t="shared" si="2"/>
        <v>2032</v>
      </c>
      <c r="P18" s="84">
        <f t="shared" si="2"/>
        <v>2033</v>
      </c>
      <c r="Q18" s="84">
        <f t="shared" si="2"/>
        <v>2034</v>
      </c>
      <c r="R18" s="84">
        <f t="shared" si="2"/>
        <v>2035</v>
      </c>
      <c r="S18" s="84">
        <f t="shared" si="2"/>
        <v>2036</v>
      </c>
    </row>
    <row r="19" spans="2:19" ht="13.5" thickTop="1">
      <c r="B19" s="1" t="s">
        <v>241</v>
      </c>
      <c r="C19" s="1" t="s">
        <v>183</v>
      </c>
      <c r="D19" s="103">
        <f>-(ZAŁOŻENIA!D147-ZAŁOŻENIA!D127)</f>
        <v>0</v>
      </c>
      <c r="E19" s="103">
        <f>-(ZAŁOŻENIA!E147-ZAŁOŻENIA!E127)</f>
        <v>-15200</v>
      </c>
      <c r="F19" s="103">
        <f>-(ZAŁOŻENIA!F147-ZAŁOŻENIA!F127)</f>
        <v>0</v>
      </c>
      <c r="G19" s="103">
        <f>-(ZAŁOŻENIA!G147-ZAŁOŻENIA!G127)</f>
        <v>-7800</v>
      </c>
      <c r="H19" s="103">
        <f>-(ZAŁOŻENIA!H147-ZAŁOŻENIA!H127)</f>
        <v>0</v>
      </c>
      <c r="I19" s="103">
        <f>-(ZAŁOŻENIA!I147-ZAŁOŻENIA!I127)</f>
        <v>0</v>
      </c>
      <c r="J19" s="103">
        <f>-(ZAŁOŻENIA!J147-ZAŁOŻENIA!J127)</f>
        <v>-7800</v>
      </c>
      <c r="K19" s="103">
        <f>-(ZAŁOŻENIA!K147-ZAŁOŻENIA!K127)</f>
        <v>0</v>
      </c>
    </row>
    <row r="20" spans="2:19">
      <c r="B20" s="1" t="s">
        <v>238</v>
      </c>
      <c r="C20" s="1" t="s">
        <v>183</v>
      </c>
    </row>
    <row r="21" spans="2:19">
      <c r="B21" s="1" t="s">
        <v>239</v>
      </c>
      <c r="C21" s="1" t="s">
        <v>183</v>
      </c>
      <c r="S21" s="103">
        <f>OBLICZENIA!S124</f>
        <v>0</v>
      </c>
    </row>
    <row r="22" spans="2:19">
      <c r="B22" s="1" t="s">
        <v>240</v>
      </c>
      <c r="C22" s="1" t="s">
        <v>183</v>
      </c>
      <c r="D22" s="103">
        <f>-(OBLICZENIA!D11-OBLICZENIA!D7)</f>
        <v>0</v>
      </c>
      <c r="E22" s="103">
        <f>-(OBLICZENIA!E11-OBLICZENIA!E7)</f>
        <v>0</v>
      </c>
      <c r="F22" s="103">
        <f>-(OBLICZENIA!F11-OBLICZENIA!F7)</f>
        <v>-170.32654323870975</v>
      </c>
      <c r="G22" s="103">
        <f>-(OBLICZENIA!G11-OBLICZENIA!G7)</f>
        <v>-170.32654323870975</v>
      </c>
      <c r="H22" s="103">
        <f>-(OBLICZENIA!H11-OBLICZENIA!H7)</f>
        <v>-425.81635809677437</v>
      </c>
      <c r="I22" s="103">
        <f>-(OBLICZENIA!I11-OBLICZENIA!I7)</f>
        <v>-425.81635809677437</v>
      </c>
      <c r="J22" s="103">
        <f>-(OBLICZENIA!J11-OBLICZENIA!J7)</f>
        <v>-425.81635809677437</v>
      </c>
      <c r="K22" s="103">
        <f>-(OBLICZENIA!K11-OBLICZENIA!K7)</f>
        <v>-681.30617295483898</v>
      </c>
      <c r="L22" s="103">
        <f>-(OBLICZENIA!L11-OBLICZENIA!L7)</f>
        <v>-681.30617295483898</v>
      </c>
      <c r="M22" s="103">
        <f>-(OBLICZENIA!M11-OBLICZENIA!M7)</f>
        <v>-681.30617295483898</v>
      </c>
      <c r="N22" s="103">
        <f>-(OBLICZENIA!N11-OBLICZENIA!N7)</f>
        <v>-681.30617295483898</v>
      </c>
      <c r="O22" s="103">
        <f>-(OBLICZENIA!O11-OBLICZENIA!O7)</f>
        <v>-681.30617295483898</v>
      </c>
      <c r="P22" s="103">
        <f>-(OBLICZENIA!P11-OBLICZENIA!P7)</f>
        <v>-681.30617295483898</v>
      </c>
      <c r="Q22" s="103">
        <f>-(OBLICZENIA!Q11-OBLICZENIA!Q7)</f>
        <v>-681.30617295483898</v>
      </c>
      <c r="R22" s="103">
        <f>-(OBLICZENIA!R11-OBLICZENIA!R7)</f>
        <v>-681.30617295483898</v>
      </c>
      <c r="S22" s="103">
        <f>-(OBLICZENIA!S11-OBLICZENIA!S7)</f>
        <v>-681.30617295483898</v>
      </c>
    </row>
    <row r="23" spans="2:19">
      <c r="B23" s="112" t="s">
        <v>242</v>
      </c>
      <c r="C23" s="112" t="s">
        <v>183</v>
      </c>
      <c r="D23" s="120">
        <f>SUM(D19,D20,D21,D22)</f>
        <v>0</v>
      </c>
      <c r="E23" s="120">
        <f t="shared" ref="E23" si="3">SUM(E19,E20,E21,E22)</f>
        <v>-15200</v>
      </c>
      <c r="F23" s="120">
        <f t="shared" ref="F23" si="4">SUM(F19,F20,F21,F22)</f>
        <v>-170.32654323870975</v>
      </c>
      <c r="G23" s="120">
        <f t="shared" ref="G23" si="5">SUM(G19,G20,G21,G22)</f>
        <v>-7970.3265432387097</v>
      </c>
      <c r="H23" s="120">
        <f t="shared" ref="H23" si="6">SUM(H19,H20,H21,H22)</f>
        <v>-425.81635809677437</v>
      </c>
      <c r="I23" s="120">
        <f t="shared" ref="I23" si="7">SUM(I19,I20,I21,I22)</f>
        <v>-425.81635809677437</v>
      </c>
      <c r="J23" s="120">
        <f t="shared" ref="J23" si="8">SUM(J19,J20,J21,J22)</f>
        <v>-8225.8163580967739</v>
      </c>
      <c r="K23" s="120">
        <f t="shared" ref="K23" si="9">SUM(K19,K20,K21,K22)</f>
        <v>-681.30617295483898</v>
      </c>
      <c r="L23" s="120">
        <f t="shared" ref="L23" si="10">SUM(L19,L20,L21,L22)</f>
        <v>-681.30617295483898</v>
      </c>
      <c r="M23" s="120">
        <f t="shared" ref="M23" si="11">SUM(M19,M20,M21,M22)</f>
        <v>-681.30617295483898</v>
      </c>
      <c r="N23" s="120">
        <f t="shared" ref="N23" si="12">SUM(N19,N20,N21,N22)</f>
        <v>-681.30617295483898</v>
      </c>
      <c r="O23" s="120">
        <f t="shared" ref="O23" si="13">SUM(O19,O20,O21,O22)</f>
        <v>-681.30617295483898</v>
      </c>
      <c r="P23" s="120">
        <f t="shared" ref="P23" si="14">SUM(P19,P20,P21,P22)</f>
        <v>-681.30617295483898</v>
      </c>
      <c r="Q23" s="120">
        <f t="shared" ref="Q23" si="15">SUM(Q19,Q20,Q21,Q22)</f>
        <v>-681.30617295483898</v>
      </c>
      <c r="R23" s="120">
        <f t="shared" ref="R23" si="16">SUM(R19,R20,R21,R22)</f>
        <v>-681.30617295483898</v>
      </c>
      <c r="S23" s="120">
        <f t="shared" ref="S23" si="17">SUM(S19,S20,S21,S22)</f>
        <v>-681.30617295483898</v>
      </c>
    </row>
    <row r="25" spans="2:19">
      <c r="B25" s="111" t="s">
        <v>222</v>
      </c>
      <c r="C25" s="111" t="s">
        <v>4</v>
      </c>
      <c r="D25" s="132">
        <f>ZAŁOŻENIA!D190</f>
        <v>0.04</v>
      </c>
    </row>
    <row r="26" spans="2:19">
      <c r="B26" s="111" t="s">
        <v>243</v>
      </c>
      <c r="C26" s="111" t="s">
        <v>183</v>
      </c>
      <c r="D26" s="124">
        <f>NPV(D25,E23:S23)+D23</f>
        <v>-33076.939912923379</v>
      </c>
    </row>
    <row r="27" spans="2:19">
      <c r="B27" s="111" t="s">
        <v>244</v>
      </c>
      <c r="C27" s="111"/>
      <c r="D27" s="133" t="e">
        <f>IRR(D23:S23,-0.9)</f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ZAŁOŻENIA</vt:lpstr>
      <vt:lpstr>OBLICZENIA</vt:lpstr>
      <vt:lpstr>ANALIZA EKONOMICZNA</vt:lpstr>
      <vt:lpstr>ANALIZA FINANSOWA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48509</dc:creator>
  <cp:lastModifiedBy>48509</cp:lastModifiedBy>
  <dcterms:created xsi:type="dcterms:W3CDTF">2021-09-21T09:43:12Z</dcterms:created>
  <dcterms:modified xsi:type="dcterms:W3CDTF">2021-11-08T08:56:29Z</dcterms:modified>
</cp:coreProperties>
</file>